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225" tabRatio="856" firstSheet="11" activeTab="16"/>
  </bookViews>
  <sheets>
    <sheet name="封面" sheetId="94" r:id="rId1"/>
    <sheet name="（附表1）公共财政预算收入计划调整" sheetId="80" r:id="rId2"/>
    <sheet name="（附表2）公共财政预算支出计划调整" sheetId="106" r:id="rId3"/>
    <sheet name="（附表3）一般公共预算支出项目调整" sheetId="96" r:id="rId4"/>
    <sheet name="（附表4）财力性补助表" sheetId="95" r:id="rId5"/>
    <sheet name="（附表5）2021基金收入科目" sheetId="103" r:id="rId6"/>
    <sheet name="（附表6）政府性基金预算收入项目调整" sheetId="97" r:id="rId7"/>
    <sheet name="（附表7）2021年基金支出科目" sheetId="105" r:id="rId8"/>
    <sheet name="（附表8）政府性基金预算支出项目调整" sheetId="112" r:id="rId9"/>
    <sheet name="（附表9）国有资本经营收入表" sheetId="110" r:id="rId10"/>
    <sheet name="（附表10）国有资本经营支出表" sheetId="111" r:id="rId11"/>
    <sheet name="（附表11）社会保险基金收入表" sheetId="99" r:id="rId12"/>
    <sheet name="（附表12）社会保险基金支出表" sheetId="100" r:id="rId13"/>
    <sheet name="（附表13）新增债券资金分配表" sheetId="102" r:id="rId14"/>
    <sheet name="（附表14）2021年收回存量资金及安排表" sheetId="101" r:id="rId15"/>
    <sheet name="附表14-1" sheetId="108" r:id="rId16"/>
    <sheet name="附表14-2" sheetId="109" r:id="rId17"/>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s>
  <definedNames>
    <definedName name="_xlnm._FilterDatabase" localSheetId="2" hidden="1">'（附表2）公共财政预算支出计划调整'!$A$5:$IV$428</definedName>
    <definedName name="_xlnm._FilterDatabase" localSheetId="3" hidden="1">'（附表3）一般公共预算支出项目调整'!$A$5:$L$650</definedName>
    <definedName name="_xlnm._FilterDatabase" localSheetId="6" hidden="1">'（附表6）政府性基金预算收入项目调整'!$A$4:$J$27</definedName>
    <definedName name="_xlnm._FilterDatabase" localSheetId="8" hidden="1">'（附表8）政府性基金预算支出项目调整'!$A$4:$H$215</definedName>
    <definedName name="_xlnm._FilterDatabase" localSheetId="15" hidden="1">'附表14-1'!$A$5:$G$161</definedName>
    <definedName name="\q">[1]国家!#REF!</definedName>
    <definedName name="\w">[2]国家!#REF!</definedName>
    <definedName name="\z">[3]中央!#REF!</definedName>
    <definedName name="\zz">[4]中央!#REF!</definedName>
    <definedName name="_123">OFFSET(#REF!,,,COUNTA(#REF!)-1)</definedName>
    <definedName name="_xlnm._FilterDatabase" localSheetId="1" hidden="1">'（附表1）公共财政预算收入计划调整'!$A$7:$K$49</definedName>
    <definedName name="_Order1" hidden="1">255</definedName>
    <definedName name="_Order2" hidden="1">255</definedName>
    <definedName name="a">#REF!</definedName>
    <definedName name="aa">#REF!</definedName>
    <definedName name="aaa">[3]中央!#REF!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bizhong">[2]国家!#REF!</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[5]PKx!$A$1:$AP$622</definedName>
    <definedName name="database2">#REF!</definedName>
    <definedName name="database3">#REF!</definedName>
    <definedName name="dd">#N/A</definedName>
    <definedName name="ddad">#N/A</definedName>
    <definedName name="ddagagsgdsa">#N/A</definedName>
    <definedName name="ddd">#REF!</definedName>
    <definedName name="dddd">[6]人民银行!#REF!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[7]项目类型!$F$3:$F$75</definedName>
    <definedName name="FAMERangeexchebAD12">#REF!</definedName>
    <definedName name="FAMERangeirsAD12">#REF!</definedName>
    <definedName name="FAMERangeMGSV">#REF!</definedName>
    <definedName name="FAMERangeMGSVAB10">#REF!</definedName>
    <definedName name="FAMERangeMGSVAB11">#REF!</definedName>
    <definedName name="FAMERangeMGSVAB12">#REF!</definedName>
    <definedName name="FAMERangeMGSVAB13">#REF!</definedName>
    <definedName name="FAMERangeMGSVAB14">#REF!</definedName>
    <definedName name="FAMERangeMGSVAB15">#REF!</definedName>
    <definedName name="FAMERangeMGSVAB16">#REF!</definedName>
    <definedName name="FAMERangeMGSVAB17">#REF!</definedName>
    <definedName name="FAMERangeMGSVAB18">#REF!</definedName>
    <definedName name="FAMERangeMGSVAB19">#REF!</definedName>
    <definedName name="FAMERangeMGSVAB20">#REF!</definedName>
    <definedName name="FAMERangeMGSVAB21">#REF!</definedName>
    <definedName name="FAMERangeMGSVAB22">#REF!</definedName>
    <definedName name="FAMERangeMGSVAB23">#REF!</definedName>
    <definedName name="FAMERangeMGSVAB24">#REF!</definedName>
    <definedName name="FAMERangeMGSVAB25">#REF!</definedName>
    <definedName name="FAMERangeMGSVAB26">#REF!</definedName>
    <definedName name="FAMERangeMGSVAB27">#REF!</definedName>
    <definedName name="FAMERangeMGSVAB28">#REF!</definedName>
    <definedName name="FAMERangeMGSVAB29">#REF!</definedName>
    <definedName name="FAMERangeMGSVAB30">#REF!</definedName>
    <definedName name="FAMERangeMGSVAB31">#REF!</definedName>
    <definedName name="FAMERangeMGSVAB32">#REF!</definedName>
    <definedName name="FAMERangeMGSVAB33">#REF!</definedName>
    <definedName name="FAMERangeMGSVAB34">#REF!</definedName>
    <definedName name="FAMERangeMGSVAB35">#REF!</definedName>
    <definedName name="FAMERangeMGSVAB36">#REF!</definedName>
    <definedName name="FAMERangeMGSVAB38">#REF!</definedName>
    <definedName name="FAMERangeMGSVAB5">#REF!</definedName>
    <definedName name="FAMERangeMGSVAB6">#REF!</definedName>
    <definedName name="FAMERangeMGSVAB7">#REF!</definedName>
    <definedName name="FAMERangeMGSVAB8">#REF!</definedName>
    <definedName name="FAMERangeMGSVAB9">#REF!</definedName>
    <definedName name="FAMERangeMGSVAC10">#REF!</definedName>
    <definedName name="FAMERangeMGSVAC11">#REF!</definedName>
    <definedName name="FAMERangeMGSVAC12">#REF!</definedName>
    <definedName name="FAMERangeMGSVAC13">#REF!</definedName>
    <definedName name="FAMERangeMGSVAC14">#REF!</definedName>
    <definedName name="FAMERangeMGSVAC15">#REF!</definedName>
    <definedName name="FAMERangeMGSVAC16">#REF!</definedName>
    <definedName name="FAMERangeMGSVAC17">#REF!</definedName>
    <definedName name="FAMERangeMGSVAC18">#REF!</definedName>
    <definedName name="FAMERangeMGSVAC19">#REF!</definedName>
    <definedName name="FAMERangeMGSVAC20">#REF!</definedName>
    <definedName name="FAMERangeMGSVAC21">#REF!</definedName>
    <definedName name="FAMERangeMGSVAC22">#REF!</definedName>
    <definedName name="FAMERangeMGSVAC23">#REF!</definedName>
    <definedName name="FAMERangeMGSVAC24">#REF!</definedName>
    <definedName name="FAMERangeMGSVAC25">#REF!</definedName>
    <definedName name="FAMERangeMGSVAC26">#REF!</definedName>
    <definedName name="FAMERangeMGSVAC27">#REF!</definedName>
    <definedName name="FAMERangeMGSVAC28">#REF!</definedName>
    <definedName name="FAMERangeMGSVAC29">#REF!</definedName>
    <definedName name="FAMERangeMGSVAC30">#REF!</definedName>
    <definedName name="FAMERangeMGSVAC31">#REF!</definedName>
    <definedName name="FAMERangeMGSVAC32">#REF!</definedName>
    <definedName name="FAMERangeMGSVAC33">#REF!</definedName>
    <definedName name="FAMERangeMGSVAC34">#REF!</definedName>
    <definedName name="FAMERangeMGSVAC35">#REF!</definedName>
    <definedName name="FAMERangeMGSVAC36">#REF!</definedName>
    <definedName name="FAMERangeMGSVAC38">#REF!</definedName>
    <definedName name="FAMERangeMGSVAC5">#REF!</definedName>
    <definedName name="FAMERangeMGSVAC6">#REF!</definedName>
    <definedName name="FAMERangeMGSVAC7">#REF!</definedName>
    <definedName name="FAMERangeMGSVAC8">#REF!</definedName>
    <definedName name="FAMERangeMGSVAC9">#REF!</definedName>
    <definedName name="FAMERangeMGSVAD10">#REF!</definedName>
    <definedName name="FAMERangeMGSVAD11">#REF!</definedName>
    <definedName name="FAMERangeMGSVAD12">#REF!</definedName>
    <definedName name="FAMERangeMGSVAD13">#REF!</definedName>
    <definedName name="FAMERangeMGSVAD14">#REF!</definedName>
    <definedName name="FAMERangeMGSVAD15">#REF!</definedName>
    <definedName name="FAMERangeMGSVAD16">#REF!</definedName>
    <definedName name="FAMERangeMGSVAD17">#REF!</definedName>
    <definedName name="FAMERangeMGSVAD18">#REF!</definedName>
    <definedName name="FAMERangeMGSVAD19">#REF!</definedName>
    <definedName name="FAMERangeMGSVAD20">#REF!</definedName>
    <definedName name="FAMERangeMGSVAD21">#REF!</definedName>
    <definedName name="FAMERangeMGSVAD22">#REF!</definedName>
    <definedName name="FAMERangeMGSVAD23">#REF!</definedName>
    <definedName name="FAMERangeMGSVAD24">#REF!</definedName>
    <definedName name="FAMERangeMGSVAD25">#REF!</definedName>
    <definedName name="FAMERangeMGSVAD26">#REF!</definedName>
    <definedName name="FAMERangeMGSVAD27">#REF!</definedName>
    <definedName name="FAMERangeMGSVAD28">#REF!</definedName>
    <definedName name="FAMERangeMGSVAD29">#REF!</definedName>
    <definedName name="FAMERangeMGSVAD30">#REF!</definedName>
    <definedName name="FAMERangeMGSVAD31">#REF!</definedName>
    <definedName name="FAMERangeMGSVAD32">#REF!</definedName>
    <definedName name="FAMERangeMGSVAD33">#REF!</definedName>
    <definedName name="FAMERangeMGSVAD34">#REF!</definedName>
    <definedName name="FAMERangeMGSVAD35">#REF!</definedName>
    <definedName name="FAMERangeMGSVAD36">#REF!</definedName>
    <definedName name="FAMERangeMGSVAD38">#REF!</definedName>
    <definedName name="FAMERangeMGSVAD5">#REF!</definedName>
    <definedName name="FAMERangeMGSVAD6">#REF!</definedName>
    <definedName name="FAMERangeMGSVAD7">#REF!</definedName>
    <definedName name="FAMERangeMGSVAD8">#REF!</definedName>
    <definedName name="FAMERangeMGSVAD9">#REF!</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gxxe2003">'[8]P1012001'!$A$6:$E$117</definedName>
    <definedName name="gxxe20032">'[9]P1012001'!$A$6:$E$117</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Print_Area_MI">#REF!</definedName>
    <definedName name="_xlnm.Print_Titles" localSheetId="1">'（附表1）公共财政预算收入计划调整'!$1:$6</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summary">#REF!</definedName>
    <definedName name="UniqueRange_37">#REF!</definedName>
    <definedName name="UniqueRange_38">#REF!</definedName>
    <definedName name="UniqueRange_39">#REF!</definedName>
    <definedName name="UniqueRange_40">#REF!</definedName>
    <definedName name="UniqueRange_41">#REF!</definedName>
    <definedName name="UniqueRange_42">#REF!</definedName>
    <definedName name="UniqueRange_43">#REF!</definedName>
    <definedName name="UniqueRange_44">#REF!</definedName>
    <definedName name="UniqueRange_45">#REF!</definedName>
    <definedName name="UniqueRange_46">#REF!</definedName>
    <definedName name="UniqueRange_47">#REF!</definedName>
    <definedName name="XMFL">[10]项目类型!$F$3:$F$75</definedName>
    <definedName name="XMFL2">[11]项目类型!$F$3:$F$75</definedName>
    <definedName name="XMLX">[12]下拉选项!#REF!</definedName>
    <definedName name="xxxx">[6]人民银行!#REF!</definedName>
    <definedName name="ZCSX">[12]下拉选项!$I$3:$I$14</definedName>
    <definedName name="zqlx">[13]DB!$M$43:$M$46</definedName>
    <definedName name="北京市行政区划">#REF!</definedName>
    <definedName name="本年">'[14]1-4余额表'!$L$3</definedName>
    <definedName name="财政供养">#REF!</definedName>
    <definedName name="产品">[15]Chap5_1!$A$1:$E$72</definedName>
    <definedName name="成本差异系数">VLOOKUP([16]公路里程!$C1,[17]差异系数!$A$6:$C$229,3,)</definedName>
    <definedName name="城市维护费">VLOOKUP([16]公路里程!$D1,'[18]2009'!$A$10:$AS$255,40,)</definedName>
    <definedName name="处室">#REF!</definedName>
    <definedName name="村级支出">VLOOKUP([16]公路里程!$D1,'[19]L24'!$B$7:$Y$4958,9,)</definedName>
    <definedName name="当年">'[20]1-1余额表'!$L$1</definedName>
    <definedName name="地方病防治系数">VLOOKUP([16]公路里程!$C1,[17]data!$C$6:$AR$210,42,)</definedName>
    <definedName name="地区">OFFSET('[20]1-1余额表'!$A$7,,,COUNTA('[20]1-1余额表'!$A:$A)-1)</definedName>
    <definedName name="地区名称">'[21]01北京市'!#REF!</definedName>
    <definedName name="公共安全部门">VLOOKUP([16]公路里程!$D1,'[18]2009'!$A$10:$AS$255,33,)</definedName>
    <definedName name="公司主管部门">[22]有效性列表!$B$2:$B$7</definedName>
    <definedName name="还有">#REF!</definedName>
    <definedName name="行政部门">VLOOKUP([16]公路里程!$D1,'[18]2009'!$A$10:$AS$255,30,)</definedName>
    <definedName name="行政区划">[22]区划对应表!$A$20:$A$36</definedName>
    <definedName name="行政区划级次">[22]有效性列表!$A$2:$A$6</definedName>
    <definedName name="行政区划名称">[23]区划对应表!$B$1:$B$19</definedName>
    <definedName name="汇率">#REF!</definedName>
    <definedName name="基金处室">#REF!</definedName>
    <definedName name="基金金额">#REF!</definedName>
    <definedName name="基金科目">#REF!</definedName>
    <definedName name="基金类型">#REF!</definedName>
    <definedName name="交通费">VLOOKUP([24]经费权重!$B1,[25]分县数据!$A$9:$BA$258,23,)</definedName>
    <definedName name="教育部门">VLOOKUP([16]公路里程!$D1,'[18]2009'!$A$10:$AS$255,34,)</definedName>
    <definedName name="金额">#REF!</definedName>
    <definedName name="科目">#REF!</definedName>
    <definedName name="类型">#REF!</definedName>
    <definedName name="离退休">VLOOKUP([16]公路里程!$D1,[26]Sheet1!$A$3:$J$252,2,)</definedName>
    <definedName name="林业部门">VLOOKUP([16]公路里程!$D1,[26]Sheet1!$A$3:$J$252,6,)</definedName>
    <definedName name="农业部门">VLOOKUP([16]公路里程!$D1,[26]Sheet1!$A$7:$J$252,5,)</definedName>
    <definedName name="平台法人性质">[27]参数表!$D$2:$D$4</definedName>
    <definedName name="其他支出">VLOOKUP([16]公路里程!$D1,'[18]2009'!$A$10:$AS$255,45,)</definedName>
    <definedName name="区划">#REF!</definedName>
    <definedName name="取暖费">VLOOKUP([24]经费权重!$B1,[25]分县数据!$A$9:$BA$258,21,)</definedName>
    <definedName name="去年">'[14]1-4余额表'!$L$4</definedName>
    <definedName name="全部担保">OFFSET('[20]1-1余额表'!$G$7,,,COUNTA('[20]1-1余额表'!$G:$G)-1)</definedName>
    <definedName name="全部一般">OFFSET('[20]1-1余额表'!$E$7,,,COUNTA('[20]1-1余额表'!$E:$E)-1)</definedName>
    <definedName name="全部余额">OFFSET('[20]1-1余额表'!$C$7,,,COUNTA('[20]1-1余额表'!$C:$C)-1)</definedName>
    <definedName name="全部直接">OFFSET('[20]1-1余额表'!$D$7,,,COUNTA('[20]1-1余额表'!$D:$D)-1)</definedName>
    <definedName name="全部专项">OFFSET('[20]1-1余额表'!$F$7,,,COUNTA('[20]1-1余额表'!$F:$F)-1)</definedName>
    <definedName name="全额差额比例">'[28]C01-1'!#REF!</definedName>
    <definedName name="人员经费">VLOOKUP([24]经费权重!$B1,[25]分县数据!$A$9:$BA$258,4,)+VLOOKUP([24]经费权重!$B1,[25]分县数据!$A$9:$BA$258,39,)</definedName>
    <definedName name="上年">'[14]1-4余额表'!$L$2</definedName>
    <definedName name="社会保障支出">VLOOKUP([16]公路里程!$D1,'[29]2007'!$A$10:$AS$257,29,)</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省级担保">OFFSET('[20]2-11担保分级表'!$C$6,,,COUNTA('[20]2-11担保分级表'!$C:$C)-1)</definedName>
    <definedName name="省级一般">OFFSET('[20]2-7一般分级表'!$C$6,,,COUNTA('[20]2-7一般分级表'!$C:$C)-1)</definedName>
    <definedName name="省级余额">OFFSET('[20]2-1余额分级表'!$C$6,,,COUNTA('[20]2-1余额分级表'!$C:$C)-1)</definedName>
    <definedName name="省级直接">OFFSET('[20]2-5直接分级表'!$C$6,,,COUNTA('[20]2-5直接分级表'!$C:$C)-1)</definedName>
    <definedName name="省级专项">OFFSET('[20]2-9专项分级表'!$C$6,,,COUNTA('[20]2-9专项分级表'!$C:$C)-1)</definedName>
    <definedName name="省区">[30]总表!$B$12:$B$47</definedName>
    <definedName name="市级担保">OFFSET('[20]2-11担保分级表'!$E$6,,,COUNTA('[20]2-11担保分级表'!$E:$E)-1)</definedName>
    <definedName name="市级一般">OFFSET('[20]2-7一般分级表'!$E$6,,,COUNTA('[20]2-7一般分级表'!$E:$E)-1)</definedName>
    <definedName name="市级余额">OFFSET('[20]2-1余额分级表'!$E$6,,,COUNTA('[20]2-1余额分级表'!$E:$E)-1)</definedName>
    <definedName name="市级直接">OFFSET('[20]2-5直接分级表'!$E$6,,,COUNTA('[20]2-5直接分级表'!$E:$E)-1)</definedName>
    <definedName name="市级专项">OFFSET('[20]2-9专项分级表'!$E$6,,,COUNTA('[20]2-9专项分级表'!$E:$E)-1)</definedName>
    <definedName name="是否立项">[31]区划对应表!$E$1:$E$2</definedName>
    <definedName name="水利部门">VLOOKUP([16]公路里程!$D1,[26]Sheet1!$A$3:$J$252,7,)</definedName>
    <definedName name="四季度">'[28]C01-1'!#REF!</definedName>
    <definedName name="卫生部门">VLOOKUP([16]公路里程!$D1,'[18]2009'!$A$10:$AS$255,38,)</definedName>
    <definedName name="位次d">[32]四月份月报!#REF!</definedName>
    <definedName name="文体广部门">VLOOKUP([16]公路里程!$D1,'[18]2009'!$A$10:$AS$255,36,)</definedName>
    <definedName name="县级担保">OFFSET('[20]2-11担保分级表'!$G$6,,,COUNTA('[20]2-11担保分级表'!$G:$G)-1)</definedName>
    <definedName name="县级一般">OFFSET('[20]2-7一般分级表'!$G$6,,,COUNTA('[20]2-7一般分级表'!$G:$G)-1)</definedName>
    <definedName name="县级余额">OFFSET('[20]2-1余额分级表'!$G$6,,,COUNTA('[20]2-1余额分级表'!$G:$G)-1)</definedName>
    <definedName name="县级直接">OFFSET('[20]2-5直接分级表'!$G$6,,,COUNTA('[20]2-5直接分级表'!$G:$G)-1)</definedName>
    <definedName name="县级专项">OFFSET('[20]2-9专项分级表'!$G$6,,,COUNTA('[20]2-9专项分级表'!$G:$G)-1)</definedName>
    <definedName name="乡级担保">OFFSET('[20]2-11担保分级表'!$I$6,,,COUNTA('[20]2-11担保分级表'!$I:$I)-1)</definedName>
    <definedName name="乡级一般">OFFSET('[20]2-7一般分级表'!$I$6,,,COUNTA('[20]2-7一般分级表'!$I:$I)-1)</definedName>
    <definedName name="乡级余额">OFFSET('[20]2-1余额分级表'!$I$6,,,COUNTA('[20]2-1余额分级表'!$I:$I)-1)</definedName>
    <definedName name="乡级直接">OFFSET('[20]2-5直接分级表'!$I$6,,,COUNTA('[20]2-5直接分级表'!$I:$I)-1)</definedName>
    <definedName name="乡级专项">OFFSET('[20]2-9专项分级表'!$I$6,,,COUNTA('[20]2-9专项分级表'!$I:$I)-1)</definedName>
    <definedName name="项目类型">[33]基础数据!$A$1:$A$66</definedName>
    <definedName name="性别">[34]基础编码!$H$2:$H$3</definedName>
    <definedName name="学历">[34]基础编码!$S$2:$S$9</definedName>
    <definedName name="银行贷款所在地">[31]区划对应表!$D$1:$D$202</definedName>
    <definedName name="银行类型二">[33]基础数据!$E$1:$E$216</definedName>
    <definedName name="银行类型一">[33]基础数据!$C$1:$C$21</definedName>
    <definedName name="政策性挂账">OFFSET('[20]1-1余额表'!$H$7,,,COUNTA('[20]1-1余额表'!$H:$H)-1)</definedName>
    <definedName name="支出">'[35]P1012001'!$A$6:$E$117</definedName>
    <definedName name="总支出">VLOOKUP([24]经费权重!$B1,[25]分县数据!$A$9:$BA$258,3,)</definedName>
    <definedName name="전">#REF!</definedName>
    <definedName name="주택사업본부">#REF!</definedName>
    <definedName name="철구사업본부">#REF!</definedName>
    <definedName name="_123" localSheetId="0">OFFSET(#REF!,,,COUNTA(#REF!)-1)</definedName>
    <definedName name="a" localSheetId="0">#REF!</definedName>
    <definedName name="aa" localSheetId="0">#REF!</definedName>
    <definedName name="ABC" localSheetId="0">#REF!</definedName>
    <definedName name="ABD" localSheetId="0">#REF!</definedName>
    <definedName name="county" localSheetId="0">#REF!</definedName>
    <definedName name="data" localSheetId="0">#REF!</definedName>
    <definedName name="database2" localSheetId="0">#REF!</definedName>
    <definedName name="database3" localSheetId="0">#REF!</definedName>
    <definedName name="ddd" localSheetId="0">#REF!</definedName>
    <definedName name="FAMERangeexchebAD12" localSheetId="0">#REF!</definedName>
    <definedName name="FAMERangeirsAD12" localSheetId="0">#REF!</definedName>
    <definedName name="FAMERangeMGSV" localSheetId="0">#REF!</definedName>
    <definedName name="FAMERangeMGSVAB10" localSheetId="0">#REF!</definedName>
    <definedName name="FAMERangeMGSVAB11" localSheetId="0">#REF!</definedName>
    <definedName name="FAMERangeMGSVAB12" localSheetId="0">#REF!</definedName>
    <definedName name="FAMERangeMGSVAB13" localSheetId="0">#REF!</definedName>
    <definedName name="FAMERangeMGSVAB14" localSheetId="0">#REF!</definedName>
    <definedName name="FAMERangeMGSVAB15" localSheetId="0">#REF!</definedName>
    <definedName name="FAMERangeMGSVAB16" localSheetId="0">#REF!</definedName>
    <definedName name="FAMERangeMGSVAB17" localSheetId="0">#REF!</definedName>
    <definedName name="FAMERangeMGSVAB18" localSheetId="0">#REF!</definedName>
    <definedName name="FAMERangeMGSVAB19" localSheetId="0">#REF!</definedName>
    <definedName name="FAMERangeMGSVAB20" localSheetId="0">#REF!</definedName>
    <definedName name="FAMERangeMGSVAB21" localSheetId="0">#REF!</definedName>
    <definedName name="FAMERangeMGSVAB22" localSheetId="0">#REF!</definedName>
    <definedName name="FAMERangeMGSVAB23" localSheetId="0">#REF!</definedName>
    <definedName name="FAMERangeMGSVAB24" localSheetId="0">#REF!</definedName>
    <definedName name="FAMERangeMGSVAB25" localSheetId="0">#REF!</definedName>
    <definedName name="FAMERangeMGSVAB26" localSheetId="0">#REF!</definedName>
    <definedName name="FAMERangeMGSVAB27" localSheetId="0">#REF!</definedName>
    <definedName name="FAMERangeMGSVAB28" localSheetId="0">#REF!</definedName>
    <definedName name="FAMERangeMGSVAB29" localSheetId="0">#REF!</definedName>
    <definedName name="FAMERangeMGSVAB30" localSheetId="0">#REF!</definedName>
    <definedName name="FAMERangeMGSVAB31" localSheetId="0">#REF!</definedName>
    <definedName name="FAMERangeMGSVAB32" localSheetId="0">#REF!</definedName>
    <definedName name="FAMERangeMGSVAB33" localSheetId="0">#REF!</definedName>
    <definedName name="FAMERangeMGSVAB34" localSheetId="0">#REF!</definedName>
    <definedName name="FAMERangeMGSVAB35" localSheetId="0">#REF!</definedName>
    <definedName name="FAMERangeMGSVAB36" localSheetId="0">#REF!</definedName>
    <definedName name="FAMERangeMGSVAB38" localSheetId="0">#REF!</definedName>
    <definedName name="FAMERangeMGSVAB5" localSheetId="0">#REF!</definedName>
    <definedName name="FAMERangeMGSVAB6" localSheetId="0">#REF!</definedName>
    <definedName name="FAMERangeMGSVAB7" localSheetId="0">#REF!</definedName>
    <definedName name="FAMERangeMGSVAB8" localSheetId="0">#REF!</definedName>
    <definedName name="FAMERangeMGSVAB9" localSheetId="0">#REF!</definedName>
    <definedName name="FAMERangeMGSVAC10" localSheetId="0">#REF!</definedName>
    <definedName name="FAMERangeMGSVAC11" localSheetId="0">#REF!</definedName>
    <definedName name="FAMERangeMGSVAC12" localSheetId="0">#REF!</definedName>
    <definedName name="FAMERangeMGSVAC13" localSheetId="0">#REF!</definedName>
    <definedName name="FAMERangeMGSVAC14" localSheetId="0">#REF!</definedName>
    <definedName name="FAMERangeMGSVAC15" localSheetId="0">#REF!</definedName>
    <definedName name="FAMERangeMGSVAC16" localSheetId="0">#REF!</definedName>
    <definedName name="FAMERangeMGSVAC17" localSheetId="0">#REF!</definedName>
    <definedName name="FAMERangeMGSVAC18" localSheetId="0">#REF!</definedName>
    <definedName name="FAMERangeMGSVAC19" localSheetId="0">#REF!</definedName>
    <definedName name="FAMERangeMGSVAC20" localSheetId="0">#REF!</definedName>
    <definedName name="FAMERangeMGSVAC21" localSheetId="0">#REF!</definedName>
    <definedName name="FAMERangeMGSVAC22" localSheetId="0">#REF!</definedName>
    <definedName name="FAMERangeMGSVAC23" localSheetId="0">#REF!</definedName>
    <definedName name="FAMERangeMGSVAC24" localSheetId="0">#REF!</definedName>
    <definedName name="FAMERangeMGSVAC25" localSheetId="0">#REF!</definedName>
    <definedName name="FAMERangeMGSVAC26" localSheetId="0">#REF!</definedName>
    <definedName name="FAMERangeMGSVAC27" localSheetId="0">#REF!</definedName>
    <definedName name="FAMERangeMGSVAC28" localSheetId="0">#REF!</definedName>
    <definedName name="FAMERangeMGSVAC29" localSheetId="0">#REF!</definedName>
    <definedName name="FAMERangeMGSVAC30" localSheetId="0">#REF!</definedName>
    <definedName name="FAMERangeMGSVAC31" localSheetId="0">#REF!</definedName>
    <definedName name="FAMERangeMGSVAC32" localSheetId="0">#REF!</definedName>
    <definedName name="FAMERangeMGSVAC33" localSheetId="0">#REF!</definedName>
    <definedName name="FAMERangeMGSVAC34" localSheetId="0">#REF!</definedName>
    <definedName name="FAMERangeMGSVAC35" localSheetId="0">#REF!</definedName>
    <definedName name="FAMERangeMGSVAC36" localSheetId="0">#REF!</definedName>
    <definedName name="FAMERangeMGSVAC38" localSheetId="0">#REF!</definedName>
    <definedName name="FAMERangeMGSVAC5" localSheetId="0">#REF!</definedName>
    <definedName name="FAMERangeMGSVAC6" localSheetId="0">#REF!</definedName>
    <definedName name="FAMERangeMGSVAC7" localSheetId="0">#REF!</definedName>
    <definedName name="FAMERangeMGSVAC8" localSheetId="0">#REF!</definedName>
    <definedName name="FAMERangeMGSVAC9" localSheetId="0">#REF!</definedName>
    <definedName name="FAMERangeMGSVAD10" localSheetId="0">#REF!</definedName>
    <definedName name="FAMERangeMGSVAD11" localSheetId="0">#REF!</definedName>
    <definedName name="FAMERangeMGSVAD12" localSheetId="0">#REF!</definedName>
    <definedName name="FAMERangeMGSVAD13" localSheetId="0">#REF!</definedName>
    <definedName name="FAMERangeMGSVAD14" localSheetId="0">#REF!</definedName>
    <definedName name="FAMERangeMGSVAD15" localSheetId="0">#REF!</definedName>
    <definedName name="FAMERangeMGSVAD16" localSheetId="0">#REF!</definedName>
    <definedName name="FAMERangeMGSVAD17" localSheetId="0">#REF!</definedName>
    <definedName name="FAMERangeMGSVAD18" localSheetId="0">#REF!</definedName>
    <definedName name="FAMERangeMGSVAD19" localSheetId="0">#REF!</definedName>
    <definedName name="FAMERangeMGSVAD20" localSheetId="0">#REF!</definedName>
    <definedName name="FAMERangeMGSVAD21" localSheetId="0">#REF!</definedName>
    <definedName name="FAMERangeMGSVAD22" localSheetId="0">#REF!</definedName>
    <definedName name="FAMERangeMGSVAD23" localSheetId="0">#REF!</definedName>
    <definedName name="FAMERangeMGSVAD24" localSheetId="0">#REF!</definedName>
    <definedName name="FAMERangeMGSVAD25" localSheetId="0">#REF!</definedName>
    <definedName name="FAMERangeMGSVAD26" localSheetId="0">#REF!</definedName>
    <definedName name="FAMERangeMGSVAD27" localSheetId="0">#REF!</definedName>
    <definedName name="FAMERangeMGSVAD28" localSheetId="0">#REF!</definedName>
    <definedName name="FAMERangeMGSVAD29" localSheetId="0">#REF!</definedName>
    <definedName name="FAMERangeMGSVAD30" localSheetId="0">#REF!</definedName>
    <definedName name="FAMERangeMGSVAD31" localSheetId="0">#REF!</definedName>
    <definedName name="FAMERangeMGSVAD32" localSheetId="0">#REF!</definedName>
    <definedName name="FAMERangeMGSVAD33" localSheetId="0">#REF!</definedName>
    <definedName name="FAMERangeMGSVAD34" localSheetId="0">#REF!</definedName>
    <definedName name="FAMERangeMGSVAD35" localSheetId="0">#REF!</definedName>
    <definedName name="FAMERangeMGSVAD36" localSheetId="0">#REF!</definedName>
    <definedName name="FAMERangeMGSVAD38" localSheetId="0">#REF!</definedName>
    <definedName name="FAMERangeMGSVAD5" localSheetId="0">#REF!</definedName>
    <definedName name="FAMERangeMGSVAD6" localSheetId="0">#REF!</definedName>
    <definedName name="FAMERangeMGSVAD7" localSheetId="0">#REF!</definedName>
    <definedName name="FAMERangeMGSVAD8" localSheetId="0">#REF!</definedName>
    <definedName name="FAMERangeMGSVAD9" localSheetId="0">#REF!</definedName>
    <definedName name="fjsldkfjsdljflsdkjf" localSheetId="0">#REF!</definedName>
    <definedName name="hhhh" localSheetId="0">#REF!</definedName>
    <definedName name="kkkk" localSheetId="0">#REF!</definedName>
    <definedName name="Print_Area_MI" localSheetId="0">#REF!</definedName>
    <definedName name="qqqqqqqqqqqqqqqqqqqqqqq" localSheetId="0">#REF!</definedName>
    <definedName name="sheng" localSheetId="0">#REF!</definedName>
    <definedName name="summary" localSheetId="0">#REF!</definedName>
    <definedName name="UniqueRange_37" localSheetId="0">#REF!</definedName>
    <definedName name="UniqueRange_38" localSheetId="0">#REF!</definedName>
    <definedName name="UniqueRange_39" localSheetId="0">#REF!</definedName>
    <definedName name="UniqueRange_40" localSheetId="0">#REF!</definedName>
    <definedName name="UniqueRange_41" localSheetId="0">#REF!</definedName>
    <definedName name="UniqueRange_42" localSheetId="0">#REF!</definedName>
    <definedName name="UniqueRange_43" localSheetId="0">#REF!</definedName>
    <definedName name="UniqueRange_44" localSheetId="0">#REF!</definedName>
    <definedName name="UniqueRange_45" localSheetId="0">#REF!</definedName>
    <definedName name="UniqueRange_46" localSheetId="0">#REF!</definedName>
    <definedName name="UniqueRange_47" localSheetId="0">#REF!</definedName>
    <definedName name="北京市行政区划" localSheetId="0">#REF!</definedName>
    <definedName name="财政供养" localSheetId="0">#REF!</definedName>
    <definedName name="处室" localSheetId="0">#REF!</definedName>
    <definedName name="还有" localSheetId="0">#REF!</definedName>
    <definedName name="汇率" localSheetId="0">#REF!</definedName>
    <definedName name="基金处室" localSheetId="0">#REF!</definedName>
    <definedName name="基金金额" localSheetId="0">#REF!</definedName>
    <definedName name="基金科目" localSheetId="0">#REF!</definedName>
    <definedName name="基金类型" localSheetId="0">#REF!</definedName>
    <definedName name="金额" localSheetId="0">#REF!</definedName>
    <definedName name="科目" localSheetId="0">#REF!</definedName>
    <definedName name="类型" localSheetId="0">#REF!</definedName>
    <definedName name="区划" localSheetId="0">#REF!</definedName>
    <definedName name="生产列1" localSheetId="0">#REF!</definedName>
    <definedName name="生产列11" localSheetId="0">#REF!</definedName>
    <definedName name="生产列15" localSheetId="0">#REF!</definedName>
    <definedName name="生产列16" localSheetId="0">#REF!</definedName>
    <definedName name="生产列17" localSheetId="0">#REF!</definedName>
    <definedName name="生产列19" localSheetId="0">#REF!</definedName>
    <definedName name="生产列2" localSheetId="0">#REF!</definedName>
    <definedName name="生产列20" localSheetId="0">#REF!</definedName>
    <definedName name="生产列3" localSheetId="0">#REF!</definedName>
    <definedName name="生产列4" localSheetId="0">#REF!</definedName>
    <definedName name="生产列5" localSheetId="0">#REF!</definedName>
    <definedName name="生产列6" localSheetId="0">#REF!</definedName>
    <definedName name="生产列7" localSheetId="0">#REF!</definedName>
    <definedName name="生产列8" localSheetId="0">#REF!</definedName>
    <definedName name="生产列9" localSheetId="0">#REF!</definedName>
    <definedName name="生产期" localSheetId="0">#REF!</definedName>
    <definedName name="生产期1" localSheetId="0">#REF!</definedName>
    <definedName name="生产期11" localSheetId="0">#REF!</definedName>
    <definedName name="生产期123" localSheetId="0">#REF!</definedName>
    <definedName name="生产期15" localSheetId="0">#REF!</definedName>
    <definedName name="生产期16" localSheetId="0">#REF!</definedName>
    <definedName name="生产期17" localSheetId="0">#REF!</definedName>
    <definedName name="生产期18" localSheetId="0">#REF!</definedName>
    <definedName name="生产期19" localSheetId="0">#REF!</definedName>
    <definedName name="生产期2" localSheetId="0">#REF!</definedName>
    <definedName name="生产期20" localSheetId="0">#REF!</definedName>
    <definedName name="生产期3" localSheetId="0">#REF!</definedName>
    <definedName name="生产期4" localSheetId="0">#REF!</definedName>
    <definedName name="生产期5" localSheetId="0">#REF!</definedName>
    <definedName name="生产期6" localSheetId="0">#REF!</definedName>
    <definedName name="生产期7" localSheetId="0">#REF!</definedName>
    <definedName name="生产期8" localSheetId="0">#REF!</definedName>
    <definedName name="生产期9" localSheetId="0">#REF!</definedName>
    <definedName name="전" localSheetId="0">#REF!</definedName>
    <definedName name="주택사업본부" localSheetId="0">#REF!</definedName>
    <definedName name="철구사업본부" localSheetId="0">#REF!</definedName>
    <definedName name="_xlnm.Print_Area" localSheetId="0">封面!$A$1:$K$18</definedName>
    <definedName name="_123" localSheetId="4">OFFSET(#REF!,,,COUNTA(#REF!)-1)</definedName>
    <definedName name="a" localSheetId="4">#REF!</definedName>
    <definedName name="aa" localSheetId="4">#REF!</definedName>
    <definedName name="ABC" localSheetId="4">#REF!</definedName>
    <definedName name="ABD" localSheetId="4">#REF!</definedName>
    <definedName name="county" localSheetId="4">#REF!</definedName>
    <definedName name="data" localSheetId="4">#REF!</definedName>
    <definedName name="database2" localSheetId="4">#REF!</definedName>
    <definedName name="database3" localSheetId="4">#REF!</definedName>
    <definedName name="ddd" localSheetId="4">#REF!</definedName>
    <definedName name="FAMERangeexchebAD12" localSheetId="4">#REF!</definedName>
    <definedName name="FAMERangeirsAD12" localSheetId="4">#REF!</definedName>
    <definedName name="FAMERangeMGSV" localSheetId="4">#REF!</definedName>
    <definedName name="FAMERangeMGSVAB10" localSheetId="4">#REF!</definedName>
    <definedName name="FAMERangeMGSVAB11" localSheetId="4">#REF!</definedName>
    <definedName name="FAMERangeMGSVAB12" localSheetId="4">#REF!</definedName>
    <definedName name="FAMERangeMGSVAB13" localSheetId="4">#REF!</definedName>
    <definedName name="FAMERangeMGSVAB14" localSheetId="4">#REF!</definedName>
    <definedName name="FAMERangeMGSVAB15" localSheetId="4">#REF!</definedName>
    <definedName name="FAMERangeMGSVAB16" localSheetId="4">#REF!</definedName>
    <definedName name="FAMERangeMGSVAB17" localSheetId="4">#REF!</definedName>
    <definedName name="FAMERangeMGSVAB18" localSheetId="4">#REF!</definedName>
    <definedName name="FAMERangeMGSVAB19" localSheetId="4">#REF!</definedName>
    <definedName name="FAMERangeMGSVAB20" localSheetId="4">#REF!</definedName>
    <definedName name="FAMERangeMGSVAB21" localSheetId="4">#REF!</definedName>
    <definedName name="FAMERangeMGSVAB22" localSheetId="4">#REF!</definedName>
    <definedName name="FAMERangeMGSVAB23" localSheetId="4">#REF!</definedName>
    <definedName name="FAMERangeMGSVAB24" localSheetId="4">#REF!</definedName>
    <definedName name="FAMERangeMGSVAB25" localSheetId="4">#REF!</definedName>
    <definedName name="FAMERangeMGSVAB26" localSheetId="4">#REF!</definedName>
    <definedName name="FAMERangeMGSVAB27" localSheetId="4">#REF!</definedName>
    <definedName name="FAMERangeMGSVAB28" localSheetId="4">#REF!</definedName>
    <definedName name="FAMERangeMGSVAB29" localSheetId="4">#REF!</definedName>
    <definedName name="FAMERangeMGSVAB30" localSheetId="4">#REF!</definedName>
    <definedName name="FAMERangeMGSVAB31" localSheetId="4">#REF!</definedName>
    <definedName name="FAMERangeMGSVAB32" localSheetId="4">#REF!</definedName>
    <definedName name="FAMERangeMGSVAB33" localSheetId="4">#REF!</definedName>
    <definedName name="FAMERangeMGSVAB34" localSheetId="4">#REF!</definedName>
    <definedName name="FAMERangeMGSVAB35" localSheetId="4">#REF!</definedName>
    <definedName name="FAMERangeMGSVAB36" localSheetId="4">#REF!</definedName>
    <definedName name="FAMERangeMGSVAB38" localSheetId="4">#REF!</definedName>
    <definedName name="FAMERangeMGSVAB5" localSheetId="4">#REF!</definedName>
    <definedName name="FAMERangeMGSVAB6" localSheetId="4">#REF!</definedName>
    <definedName name="FAMERangeMGSVAB7" localSheetId="4">#REF!</definedName>
    <definedName name="FAMERangeMGSVAB8" localSheetId="4">#REF!</definedName>
    <definedName name="FAMERangeMGSVAB9" localSheetId="4">#REF!</definedName>
    <definedName name="FAMERangeMGSVAC10" localSheetId="4">#REF!</definedName>
    <definedName name="FAMERangeMGSVAC11" localSheetId="4">#REF!</definedName>
    <definedName name="FAMERangeMGSVAC12" localSheetId="4">#REF!</definedName>
    <definedName name="FAMERangeMGSVAC13" localSheetId="4">#REF!</definedName>
    <definedName name="FAMERangeMGSVAC14" localSheetId="4">#REF!</definedName>
    <definedName name="FAMERangeMGSVAC15" localSheetId="4">#REF!</definedName>
    <definedName name="FAMERangeMGSVAC16" localSheetId="4">#REF!</definedName>
    <definedName name="FAMERangeMGSVAC17" localSheetId="4">#REF!</definedName>
    <definedName name="FAMERangeMGSVAC18" localSheetId="4">#REF!</definedName>
    <definedName name="FAMERangeMGSVAC19" localSheetId="4">#REF!</definedName>
    <definedName name="FAMERangeMGSVAC20" localSheetId="4">#REF!</definedName>
    <definedName name="FAMERangeMGSVAC21" localSheetId="4">#REF!</definedName>
    <definedName name="FAMERangeMGSVAC22" localSheetId="4">#REF!</definedName>
    <definedName name="FAMERangeMGSVAC23" localSheetId="4">#REF!</definedName>
    <definedName name="FAMERangeMGSVAC24" localSheetId="4">#REF!</definedName>
    <definedName name="FAMERangeMGSVAC25" localSheetId="4">#REF!</definedName>
    <definedName name="FAMERangeMGSVAC26" localSheetId="4">#REF!</definedName>
    <definedName name="FAMERangeMGSVAC27" localSheetId="4">#REF!</definedName>
    <definedName name="FAMERangeMGSVAC28" localSheetId="4">#REF!</definedName>
    <definedName name="FAMERangeMGSVAC29" localSheetId="4">#REF!</definedName>
    <definedName name="FAMERangeMGSVAC30" localSheetId="4">#REF!</definedName>
    <definedName name="FAMERangeMGSVAC31" localSheetId="4">#REF!</definedName>
    <definedName name="FAMERangeMGSVAC32" localSheetId="4">#REF!</definedName>
    <definedName name="FAMERangeMGSVAC33" localSheetId="4">#REF!</definedName>
    <definedName name="FAMERangeMGSVAC34" localSheetId="4">#REF!</definedName>
    <definedName name="FAMERangeMGSVAC35" localSheetId="4">#REF!</definedName>
    <definedName name="FAMERangeMGSVAC36" localSheetId="4">#REF!</definedName>
    <definedName name="FAMERangeMGSVAC38" localSheetId="4">#REF!</definedName>
    <definedName name="FAMERangeMGSVAC5" localSheetId="4">#REF!</definedName>
    <definedName name="FAMERangeMGSVAC6" localSheetId="4">#REF!</definedName>
    <definedName name="FAMERangeMGSVAC7" localSheetId="4">#REF!</definedName>
    <definedName name="FAMERangeMGSVAC8" localSheetId="4">#REF!</definedName>
    <definedName name="FAMERangeMGSVAC9" localSheetId="4">#REF!</definedName>
    <definedName name="FAMERangeMGSVAD10" localSheetId="4">#REF!</definedName>
    <definedName name="FAMERangeMGSVAD11" localSheetId="4">#REF!</definedName>
    <definedName name="FAMERangeMGSVAD12" localSheetId="4">#REF!</definedName>
    <definedName name="FAMERangeMGSVAD13" localSheetId="4">#REF!</definedName>
    <definedName name="FAMERangeMGSVAD14" localSheetId="4">#REF!</definedName>
    <definedName name="FAMERangeMGSVAD15" localSheetId="4">#REF!</definedName>
    <definedName name="FAMERangeMGSVAD16" localSheetId="4">#REF!</definedName>
    <definedName name="FAMERangeMGSVAD17" localSheetId="4">#REF!</definedName>
    <definedName name="FAMERangeMGSVAD18" localSheetId="4">#REF!</definedName>
    <definedName name="FAMERangeMGSVAD19" localSheetId="4">#REF!</definedName>
    <definedName name="FAMERangeMGSVAD20" localSheetId="4">#REF!</definedName>
    <definedName name="FAMERangeMGSVAD21" localSheetId="4">#REF!</definedName>
    <definedName name="FAMERangeMGSVAD22" localSheetId="4">#REF!</definedName>
    <definedName name="FAMERangeMGSVAD23" localSheetId="4">#REF!</definedName>
    <definedName name="FAMERangeMGSVAD24" localSheetId="4">#REF!</definedName>
    <definedName name="FAMERangeMGSVAD25" localSheetId="4">#REF!</definedName>
    <definedName name="FAMERangeMGSVAD26" localSheetId="4">#REF!</definedName>
    <definedName name="FAMERangeMGSVAD27" localSheetId="4">#REF!</definedName>
    <definedName name="FAMERangeMGSVAD28" localSheetId="4">#REF!</definedName>
    <definedName name="FAMERangeMGSVAD29" localSheetId="4">#REF!</definedName>
    <definedName name="FAMERangeMGSVAD30" localSheetId="4">#REF!</definedName>
    <definedName name="FAMERangeMGSVAD31" localSheetId="4">#REF!</definedName>
    <definedName name="FAMERangeMGSVAD32" localSheetId="4">#REF!</definedName>
    <definedName name="FAMERangeMGSVAD33" localSheetId="4">#REF!</definedName>
    <definedName name="FAMERangeMGSVAD34" localSheetId="4">#REF!</definedName>
    <definedName name="FAMERangeMGSVAD35" localSheetId="4">#REF!</definedName>
    <definedName name="FAMERangeMGSVAD36" localSheetId="4">#REF!</definedName>
    <definedName name="FAMERangeMGSVAD38" localSheetId="4">#REF!</definedName>
    <definedName name="FAMERangeMGSVAD5" localSheetId="4">#REF!</definedName>
    <definedName name="FAMERangeMGSVAD6" localSheetId="4">#REF!</definedName>
    <definedName name="FAMERangeMGSVAD7" localSheetId="4">#REF!</definedName>
    <definedName name="FAMERangeMGSVAD8" localSheetId="4">#REF!</definedName>
    <definedName name="FAMERangeMGSVAD9" localSheetId="4">#REF!</definedName>
    <definedName name="fjsldkfjsdljflsdkjf" localSheetId="4">#REF!</definedName>
    <definedName name="hhhh" localSheetId="4">#REF!</definedName>
    <definedName name="kkkk" localSheetId="4">#REF!</definedName>
    <definedName name="Print_Area_MI" localSheetId="4">#REF!</definedName>
    <definedName name="qqqqqqqqqqqqqqqqqqqqqqq" localSheetId="4">#REF!</definedName>
    <definedName name="sheng" localSheetId="4">#REF!</definedName>
    <definedName name="summary" localSheetId="4">#REF!</definedName>
    <definedName name="UniqueRange_37" localSheetId="4">#REF!</definedName>
    <definedName name="UniqueRange_38" localSheetId="4">#REF!</definedName>
    <definedName name="UniqueRange_39" localSheetId="4">#REF!</definedName>
    <definedName name="UniqueRange_40" localSheetId="4">#REF!</definedName>
    <definedName name="UniqueRange_41" localSheetId="4">#REF!</definedName>
    <definedName name="UniqueRange_42" localSheetId="4">#REF!</definedName>
    <definedName name="UniqueRange_43" localSheetId="4">#REF!</definedName>
    <definedName name="UniqueRange_44" localSheetId="4">#REF!</definedName>
    <definedName name="UniqueRange_45" localSheetId="4">#REF!</definedName>
    <definedName name="UniqueRange_46" localSheetId="4">#REF!</definedName>
    <definedName name="UniqueRange_47" localSheetId="4">#REF!</definedName>
    <definedName name="北京市行政区划" localSheetId="4">#REF!</definedName>
    <definedName name="本年" localSheetId="4">'[36]1-4余额表'!$L$3</definedName>
    <definedName name="财政供养" localSheetId="4">#REF!</definedName>
    <definedName name="处室" localSheetId="4">#REF!</definedName>
    <definedName name="当年" localSheetId="4">'[37]1-1余额表'!$L$1</definedName>
    <definedName name="地区" localSheetId="4">OFFSET('[37]1-1余额表'!$A$7,,,COUNTA('[37]1-1余额表'!$A:$A)-1)</definedName>
    <definedName name="地区名称" localSheetId="4">'[38]01北京市'!#REF!</definedName>
    <definedName name="还有" localSheetId="4">#REF!</definedName>
    <definedName name="汇率" localSheetId="4">#REF!</definedName>
    <definedName name="基金处室" localSheetId="4">#REF!</definedName>
    <definedName name="基金金额" localSheetId="4">#REF!</definedName>
    <definedName name="基金科目" localSheetId="4">#REF!</definedName>
    <definedName name="基金类型" localSheetId="4">#REF!</definedName>
    <definedName name="金额" localSheetId="4">#REF!</definedName>
    <definedName name="科目" localSheetId="4">#REF!</definedName>
    <definedName name="类型" localSheetId="4">#REF!</definedName>
    <definedName name="区划" localSheetId="4">#REF!</definedName>
    <definedName name="去年" localSheetId="4">'[36]1-4余额表'!$L$4</definedName>
    <definedName name="全部担保" localSheetId="4">OFFSET('[37]1-1余额表'!$G$7,,,COUNTA('[37]1-1余额表'!$G:$G)-1)</definedName>
    <definedName name="全部一般" localSheetId="4">OFFSET('[37]1-1余额表'!$E$7,,,COUNTA('[37]1-1余额表'!$E:$E)-1)</definedName>
    <definedName name="全部余额" localSheetId="4">OFFSET('[37]1-1余额表'!$C$7,,,COUNTA('[37]1-1余额表'!$C:$C)-1)</definedName>
    <definedName name="全部直接" localSheetId="4">OFFSET('[37]1-1余额表'!$D$7,,,COUNTA('[37]1-1余额表'!$D:$D)-1)</definedName>
    <definedName name="全部专项" localSheetId="4">OFFSET('[37]1-1余额表'!$F$7,,,COUNTA('[37]1-1余额表'!$F:$F)-1)</definedName>
    <definedName name="上年" localSheetId="4">'[36]1-4余额表'!$L$2</definedName>
    <definedName name="生产列1" localSheetId="4">#REF!</definedName>
    <definedName name="生产列11" localSheetId="4">#REF!</definedName>
    <definedName name="生产列15" localSheetId="4">#REF!</definedName>
    <definedName name="生产列16" localSheetId="4">#REF!</definedName>
    <definedName name="生产列17" localSheetId="4">#REF!</definedName>
    <definedName name="生产列19" localSheetId="4">#REF!</definedName>
    <definedName name="生产列2" localSheetId="4">#REF!</definedName>
    <definedName name="生产列20" localSheetId="4">#REF!</definedName>
    <definedName name="生产列3" localSheetId="4">#REF!</definedName>
    <definedName name="生产列4" localSheetId="4">#REF!</definedName>
    <definedName name="生产列5" localSheetId="4">#REF!</definedName>
    <definedName name="生产列6" localSheetId="4">#REF!</definedName>
    <definedName name="生产列7" localSheetId="4">#REF!</definedName>
    <definedName name="生产列8" localSheetId="4">#REF!</definedName>
    <definedName name="生产列9" localSheetId="4">#REF!</definedName>
    <definedName name="生产期" localSheetId="4">#REF!</definedName>
    <definedName name="生产期1" localSheetId="4">#REF!</definedName>
    <definedName name="生产期11" localSheetId="4">#REF!</definedName>
    <definedName name="生产期123" localSheetId="4">#REF!</definedName>
    <definedName name="生产期15" localSheetId="4">#REF!</definedName>
    <definedName name="生产期16" localSheetId="4">#REF!</definedName>
    <definedName name="生产期17" localSheetId="4">#REF!</definedName>
    <definedName name="生产期18" localSheetId="4">#REF!</definedName>
    <definedName name="生产期19" localSheetId="4">#REF!</definedName>
    <definedName name="生产期2" localSheetId="4">#REF!</definedName>
    <definedName name="生产期20" localSheetId="4">#REF!</definedName>
    <definedName name="生产期3" localSheetId="4">#REF!</definedName>
    <definedName name="生产期4" localSheetId="4">#REF!</definedName>
    <definedName name="生产期5" localSheetId="4">#REF!</definedName>
    <definedName name="生产期6" localSheetId="4">#REF!</definedName>
    <definedName name="生产期7" localSheetId="4">#REF!</definedName>
    <definedName name="生产期8" localSheetId="4">#REF!</definedName>
    <definedName name="生产期9" localSheetId="4">#REF!</definedName>
    <definedName name="省级担保" localSheetId="4">OFFSET('[37]2-11担保分级表'!$C$6,,,COUNTA('[37]2-11担保分级表'!$C:$C)-1)</definedName>
    <definedName name="省级一般" localSheetId="4">OFFSET('[37]2-7一般分级表'!$C$6,,,COUNTA('[37]2-7一般分级表'!$C:$C)-1)</definedName>
    <definedName name="省级余额" localSheetId="4">OFFSET('[37]2-1余额分级表'!$C$6,,,COUNTA('[37]2-1余额分级表'!$C:$C)-1)</definedName>
    <definedName name="省级直接" localSheetId="4">OFFSET('[37]2-5直接分级表'!$C$6,,,COUNTA('[37]2-5直接分级表'!$C:$C)-1)</definedName>
    <definedName name="省级专项" localSheetId="4">OFFSET('[37]2-9专项分级表'!$C$6,,,COUNTA('[37]2-9专项分级表'!$C:$C)-1)</definedName>
    <definedName name="市级担保" localSheetId="4">OFFSET('[37]2-11担保分级表'!$E$6,,,COUNTA('[37]2-11担保分级表'!$E:$E)-1)</definedName>
    <definedName name="市级一般" localSheetId="4">OFFSET('[37]2-7一般分级表'!$E$6,,,COUNTA('[37]2-7一般分级表'!$E:$E)-1)</definedName>
    <definedName name="市级余额" localSheetId="4">OFFSET('[37]2-1余额分级表'!$E$6,,,COUNTA('[37]2-1余额分级表'!$E:$E)-1)</definedName>
    <definedName name="市级直接" localSheetId="4">OFFSET('[37]2-5直接分级表'!$E$6,,,COUNTA('[37]2-5直接分级表'!$E:$E)-1)</definedName>
    <definedName name="市级专项" localSheetId="4">OFFSET('[37]2-9专项分级表'!$E$6,,,COUNTA('[37]2-9专项分级表'!$E:$E)-1)</definedName>
    <definedName name="县级担保" localSheetId="4">OFFSET('[37]2-11担保分级表'!$G$6,,,COUNTA('[37]2-11担保分级表'!$G:$G)-1)</definedName>
    <definedName name="县级一般" localSheetId="4">OFFSET('[37]2-7一般分级表'!$G$6,,,COUNTA('[37]2-7一般分级表'!$G:$G)-1)</definedName>
    <definedName name="县级余额" localSheetId="4">OFFSET('[37]2-1余额分级表'!$G$6,,,COUNTA('[37]2-1余额分级表'!$G:$G)-1)</definedName>
    <definedName name="县级直接" localSheetId="4">OFFSET('[37]2-5直接分级表'!$G$6,,,COUNTA('[37]2-5直接分级表'!$G:$G)-1)</definedName>
    <definedName name="县级专项" localSheetId="4">OFFSET('[37]2-9专项分级表'!$G$6,,,COUNTA('[37]2-9专项分级表'!$G:$G)-1)</definedName>
    <definedName name="乡级担保" localSheetId="4">OFFSET('[37]2-11担保分级表'!$I$6,,,COUNTA('[37]2-11担保分级表'!$I:$I)-1)</definedName>
    <definedName name="乡级一般" localSheetId="4">OFFSET('[37]2-7一般分级表'!$I$6,,,COUNTA('[37]2-7一般分级表'!$I:$I)-1)</definedName>
    <definedName name="乡级余额" localSheetId="4">OFFSET('[37]2-1余额分级表'!$I$6,,,COUNTA('[37]2-1余额分级表'!$I:$I)-1)</definedName>
    <definedName name="乡级直接" localSheetId="4">OFFSET('[37]2-5直接分级表'!$I$6,,,COUNTA('[37]2-5直接分级表'!$I:$I)-1)</definedName>
    <definedName name="乡级专项" localSheetId="4">OFFSET('[37]2-9专项分级表'!$I$6,,,COUNTA('[37]2-9专项分级表'!$I:$I)-1)</definedName>
    <definedName name="项目类型" localSheetId="4">[39]基础数据!$A$1:$A$66</definedName>
    <definedName name="银行类型二" localSheetId="4">[39]基础数据!$E$1:$E$216</definedName>
    <definedName name="银行类型一" localSheetId="4">[39]基础数据!$C$1:$C$21</definedName>
    <definedName name="政策性挂账" localSheetId="4">OFFSET('[37]1-1余额表'!$H$7,,,COUNTA('[37]1-1余额表'!$H:$H)-1)</definedName>
    <definedName name="전" localSheetId="4">#REF!</definedName>
    <definedName name="주택사업본부" localSheetId="4">#REF!</definedName>
    <definedName name="철구사업본부" localSheetId="4">#REF!</definedName>
    <definedName name="_xlnm.Print_Titles" localSheetId="3">'（附表3）一般公共预算支出项目调整'!$1:$5</definedName>
    <definedName name="_xlnm.Print_Titles" localSheetId="6">'（附表6）政府性基金预算收入项目调整'!$1:$4</definedName>
    <definedName name="_xlnm.Print_Area" localSheetId="11">'（附表11）社会保险基金收入表'!$A$1:$G$27</definedName>
    <definedName name="_123" localSheetId="13">OFFSET(#REF!,,,COUNTA(#REF!)-1)</definedName>
    <definedName name="_xlnm._FilterDatabase" localSheetId="13" hidden="1">'（附表13）新增债券资金分配表'!$A$11:$C$15</definedName>
    <definedName name="a" localSheetId="13">#REF!</definedName>
    <definedName name="aa" localSheetId="13">#REF!</definedName>
    <definedName name="ABC" localSheetId="13">#REF!</definedName>
    <definedName name="ABD" localSheetId="13">#REF!</definedName>
    <definedName name="county" localSheetId="13">#REF!</definedName>
    <definedName name="data" localSheetId="13">#REF!</definedName>
    <definedName name="database2" localSheetId="13">#REF!</definedName>
    <definedName name="database3" localSheetId="13">#REF!</definedName>
    <definedName name="ddd" localSheetId="13">#REF!</definedName>
    <definedName name="FAMERangeexchebAD12" localSheetId="13">#REF!</definedName>
    <definedName name="FAMERangeirsAD12" localSheetId="13">#REF!</definedName>
    <definedName name="FAMERangeMGSV" localSheetId="13">#REF!</definedName>
    <definedName name="FAMERangeMGSVAB10" localSheetId="13">#REF!</definedName>
    <definedName name="FAMERangeMGSVAB11" localSheetId="13">#REF!</definedName>
    <definedName name="FAMERangeMGSVAB12" localSheetId="13">#REF!</definedName>
    <definedName name="FAMERangeMGSVAB13" localSheetId="13">#REF!</definedName>
    <definedName name="FAMERangeMGSVAB14" localSheetId="13">#REF!</definedName>
    <definedName name="FAMERangeMGSVAB15" localSheetId="13">#REF!</definedName>
    <definedName name="FAMERangeMGSVAB16" localSheetId="13">#REF!</definedName>
    <definedName name="FAMERangeMGSVAB17" localSheetId="13">#REF!</definedName>
    <definedName name="FAMERangeMGSVAB18" localSheetId="13">#REF!</definedName>
    <definedName name="FAMERangeMGSVAB19" localSheetId="13">#REF!</definedName>
    <definedName name="FAMERangeMGSVAB20" localSheetId="13">#REF!</definedName>
    <definedName name="FAMERangeMGSVAB21" localSheetId="13">#REF!</definedName>
    <definedName name="FAMERangeMGSVAB22" localSheetId="13">#REF!</definedName>
    <definedName name="FAMERangeMGSVAB23" localSheetId="13">#REF!</definedName>
    <definedName name="FAMERangeMGSVAB24" localSheetId="13">#REF!</definedName>
    <definedName name="FAMERangeMGSVAB25" localSheetId="13">#REF!</definedName>
    <definedName name="FAMERangeMGSVAB26" localSheetId="13">#REF!</definedName>
    <definedName name="FAMERangeMGSVAB27" localSheetId="13">#REF!</definedName>
    <definedName name="FAMERangeMGSVAB28" localSheetId="13">#REF!</definedName>
    <definedName name="FAMERangeMGSVAB29" localSheetId="13">#REF!</definedName>
    <definedName name="FAMERangeMGSVAB30" localSheetId="13">#REF!</definedName>
    <definedName name="FAMERangeMGSVAB31" localSheetId="13">#REF!</definedName>
    <definedName name="FAMERangeMGSVAB32" localSheetId="13">#REF!</definedName>
    <definedName name="FAMERangeMGSVAB33" localSheetId="13">#REF!</definedName>
    <definedName name="FAMERangeMGSVAB34" localSheetId="13">#REF!</definedName>
    <definedName name="FAMERangeMGSVAB35" localSheetId="13">#REF!</definedName>
    <definedName name="FAMERangeMGSVAB36" localSheetId="13">#REF!</definedName>
    <definedName name="FAMERangeMGSVAB38" localSheetId="13">#REF!</definedName>
    <definedName name="FAMERangeMGSVAB5" localSheetId="13">#REF!</definedName>
    <definedName name="FAMERangeMGSVAB6" localSheetId="13">#REF!</definedName>
    <definedName name="FAMERangeMGSVAB7" localSheetId="13">#REF!</definedName>
    <definedName name="FAMERangeMGSVAB8" localSheetId="13">#REF!</definedName>
    <definedName name="FAMERangeMGSVAB9" localSheetId="13">#REF!</definedName>
    <definedName name="FAMERangeMGSVAC10" localSheetId="13">#REF!</definedName>
    <definedName name="FAMERangeMGSVAC11" localSheetId="13">#REF!</definedName>
    <definedName name="FAMERangeMGSVAC12" localSheetId="13">#REF!</definedName>
    <definedName name="FAMERangeMGSVAC13" localSheetId="13">#REF!</definedName>
    <definedName name="FAMERangeMGSVAC14" localSheetId="13">#REF!</definedName>
    <definedName name="FAMERangeMGSVAC15" localSheetId="13">#REF!</definedName>
    <definedName name="FAMERangeMGSVAC16" localSheetId="13">#REF!</definedName>
    <definedName name="FAMERangeMGSVAC17" localSheetId="13">#REF!</definedName>
    <definedName name="FAMERangeMGSVAC18" localSheetId="13">#REF!</definedName>
    <definedName name="FAMERangeMGSVAC19" localSheetId="13">#REF!</definedName>
    <definedName name="FAMERangeMGSVAC20" localSheetId="13">#REF!</definedName>
    <definedName name="FAMERangeMGSVAC21" localSheetId="13">#REF!</definedName>
    <definedName name="FAMERangeMGSVAC22" localSheetId="13">#REF!</definedName>
    <definedName name="FAMERangeMGSVAC23" localSheetId="13">#REF!</definedName>
    <definedName name="FAMERangeMGSVAC24" localSheetId="13">#REF!</definedName>
    <definedName name="FAMERangeMGSVAC25" localSheetId="13">#REF!</definedName>
    <definedName name="FAMERangeMGSVAC26" localSheetId="13">#REF!</definedName>
    <definedName name="FAMERangeMGSVAC27" localSheetId="13">#REF!</definedName>
    <definedName name="FAMERangeMGSVAC28" localSheetId="13">#REF!</definedName>
    <definedName name="FAMERangeMGSVAC29" localSheetId="13">#REF!</definedName>
    <definedName name="FAMERangeMGSVAC30" localSheetId="13">#REF!</definedName>
    <definedName name="FAMERangeMGSVAC31" localSheetId="13">#REF!</definedName>
    <definedName name="FAMERangeMGSVAC32" localSheetId="13">#REF!</definedName>
    <definedName name="FAMERangeMGSVAC33" localSheetId="13">#REF!</definedName>
    <definedName name="FAMERangeMGSVAC34" localSheetId="13">#REF!</definedName>
    <definedName name="FAMERangeMGSVAC35" localSheetId="13">#REF!</definedName>
    <definedName name="FAMERangeMGSVAC36" localSheetId="13">#REF!</definedName>
    <definedName name="FAMERangeMGSVAC38" localSheetId="13">#REF!</definedName>
    <definedName name="FAMERangeMGSVAC5" localSheetId="13">#REF!</definedName>
    <definedName name="FAMERangeMGSVAC6" localSheetId="13">#REF!</definedName>
    <definedName name="FAMERangeMGSVAC7" localSheetId="13">#REF!</definedName>
    <definedName name="FAMERangeMGSVAC8" localSheetId="13">#REF!</definedName>
    <definedName name="FAMERangeMGSVAC9" localSheetId="13">#REF!</definedName>
    <definedName name="FAMERangeMGSVAD10" localSheetId="13">#REF!</definedName>
    <definedName name="FAMERangeMGSVAD11" localSheetId="13">#REF!</definedName>
    <definedName name="FAMERangeMGSVAD12" localSheetId="13">#REF!</definedName>
    <definedName name="FAMERangeMGSVAD13" localSheetId="13">#REF!</definedName>
    <definedName name="FAMERangeMGSVAD14" localSheetId="13">#REF!</definedName>
    <definedName name="FAMERangeMGSVAD15" localSheetId="13">#REF!</definedName>
    <definedName name="FAMERangeMGSVAD16" localSheetId="13">#REF!</definedName>
    <definedName name="FAMERangeMGSVAD17" localSheetId="13">#REF!</definedName>
    <definedName name="FAMERangeMGSVAD18" localSheetId="13">#REF!</definedName>
    <definedName name="FAMERangeMGSVAD19" localSheetId="13">#REF!</definedName>
    <definedName name="FAMERangeMGSVAD20" localSheetId="13">#REF!</definedName>
    <definedName name="FAMERangeMGSVAD21" localSheetId="13">#REF!</definedName>
    <definedName name="FAMERangeMGSVAD22" localSheetId="13">#REF!</definedName>
    <definedName name="FAMERangeMGSVAD23" localSheetId="13">#REF!</definedName>
    <definedName name="FAMERangeMGSVAD24" localSheetId="13">#REF!</definedName>
    <definedName name="FAMERangeMGSVAD25" localSheetId="13">#REF!</definedName>
    <definedName name="FAMERangeMGSVAD26" localSheetId="13">#REF!</definedName>
    <definedName name="FAMERangeMGSVAD27" localSheetId="13">#REF!</definedName>
    <definedName name="FAMERangeMGSVAD28" localSheetId="13">#REF!</definedName>
    <definedName name="FAMERangeMGSVAD29" localSheetId="13">#REF!</definedName>
    <definedName name="FAMERangeMGSVAD30" localSheetId="13">#REF!</definedName>
    <definedName name="FAMERangeMGSVAD31" localSheetId="13">#REF!</definedName>
    <definedName name="FAMERangeMGSVAD32" localSheetId="13">#REF!</definedName>
    <definedName name="FAMERangeMGSVAD33" localSheetId="13">#REF!</definedName>
    <definedName name="FAMERangeMGSVAD34" localSheetId="13">#REF!</definedName>
    <definedName name="FAMERangeMGSVAD35" localSheetId="13">#REF!</definedName>
    <definedName name="FAMERangeMGSVAD36" localSheetId="13">#REF!</definedName>
    <definedName name="FAMERangeMGSVAD38" localSheetId="13">#REF!</definedName>
    <definedName name="FAMERangeMGSVAD5" localSheetId="13">#REF!</definedName>
    <definedName name="FAMERangeMGSVAD6" localSheetId="13">#REF!</definedName>
    <definedName name="FAMERangeMGSVAD7" localSheetId="13">#REF!</definedName>
    <definedName name="FAMERangeMGSVAD8" localSheetId="13">#REF!</definedName>
    <definedName name="FAMERangeMGSVAD9" localSheetId="13">#REF!</definedName>
    <definedName name="fjsldkfjsdljflsdkjf" localSheetId="13">#REF!</definedName>
    <definedName name="hhhh" localSheetId="13">#REF!</definedName>
    <definedName name="kkkk" localSheetId="13">#REF!</definedName>
    <definedName name="_xlnm.Print_Area" localSheetId="13">'（附表13）新增债券资金分配表'!$A$1:$O$22</definedName>
    <definedName name="Print_Area_MI" localSheetId="13">#REF!</definedName>
    <definedName name="_xlnm.Print_Titles" localSheetId="13">'（附表13）新增债券资金分配表'!$2:$4</definedName>
    <definedName name="qqqqqqqqqqqqqqqqqqqqqqq" localSheetId="13">#REF!</definedName>
    <definedName name="sheng" localSheetId="13">#REF!</definedName>
    <definedName name="summary" localSheetId="13">#REF!</definedName>
    <definedName name="UniqueRange_37" localSheetId="13">#REF!</definedName>
    <definedName name="UniqueRange_38" localSheetId="13">#REF!</definedName>
    <definedName name="UniqueRange_39" localSheetId="13">#REF!</definedName>
    <definedName name="UniqueRange_40" localSheetId="13">#REF!</definedName>
    <definedName name="UniqueRange_41" localSheetId="13">#REF!</definedName>
    <definedName name="UniqueRange_42" localSheetId="13">#REF!</definedName>
    <definedName name="UniqueRange_43" localSheetId="13">#REF!</definedName>
    <definedName name="UniqueRange_44" localSheetId="13">#REF!</definedName>
    <definedName name="UniqueRange_45" localSheetId="13">#REF!</definedName>
    <definedName name="UniqueRange_46" localSheetId="13">#REF!</definedName>
    <definedName name="UniqueRange_47" localSheetId="13">#REF!</definedName>
    <definedName name="北京市行政区划" localSheetId="13">#REF!</definedName>
    <definedName name="本年" localSheetId="13">'[36]1-4余额表'!$L$3</definedName>
    <definedName name="财政供养" localSheetId="13">#REF!</definedName>
    <definedName name="处室" localSheetId="13">#REF!</definedName>
    <definedName name="当年" localSheetId="13">'[37]1-1余额表'!$L$1</definedName>
    <definedName name="地区" localSheetId="13">OFFSET('[37]1-1余额表'!$A$7,,,COUNTA('[37]1-1余额表'!$A:$A)-1)</definedName>
    <definedName name="地区名称" localSheetId="13">'[38]01北京市'!#REF!</definedName>
    <definedName name="还有" localSheetId="13">#REF!</definedName>
    <definedName name="汇率" localSheetId="13">#REF!</definedName>
    <definedName name="基金处室" localSheetId="13">#REF!</definedName>
    <definedName name="基金金额" localSheetId="13">#REF!</definedName>
    <definedName name="基金科目" localSheetId="13">#REF!</definedName>
    <definedName name="基金类型" localSheetId="13">#REF!</definedName>
    <definedName name="金额" localSheetId="13">#REF!</definedName>
    <definedName name="科目" localSheetId="13">#REF!</definedName>
    <definedName name="类型" localSheetId="13">#REF!</definedName>
    <definedName name="区划" localSheetId="13">#REF!</definedName>
    <definedName name="去年" localSheetId="13">'[36]1-4余额表'!$L$4</definedName>
    <definedName name="全部担保" localSheetId="13">OFFSET('[37]1-1余额表'!$G$7,,,COUNTA('[37]1-1余额表'!$G:$G)-1)</definedName>
    <definedName name="全部一般" localSheetId="13">OFFSET('[37]1-1余额表'!$E$7,,,COUNTA('[37]1-1余额表'!$E:$E)-1)</definedName>
    <definedName name="全部余额" localSheetId="13">OFFSET('[37]1-1余额表'!$C$7,,,COUNTA('[37]1-1余额表'!$C:$C)-1)</definedName>
    <definedName name="全部直接" localSheetId="13">OFFSET('[37]1-1余额表'!$D$7,,,COUNTA('[37]1-1余额表'!$D:$D)-1)</definedName>
    <definedName name="全部专项" localSheetId="13">OFFSET('[37]1-1余额表'!$F$7,,,COUNTA('[37]1-1余额表'!$F:$F)-1)</definedName>
    <definedName name="上年" localSheetId="13">'[36]1-4余额表'!$L$2</definedName>
    <definedName name="生产列1" localSheetId="13">#REF!</definedName>
    <definedName name="生产列11" localSheetId="13">#REF!</definedName>
    <definedName name="生产列15" localSheetId="13">#REF!</definedName>
    <definedName name="生产列16" localSheetId="13">#REF!</definedName>
    <definedName name="生产列17" localSheetId="13">#REF!</definedName>
    <definedName name="生产列19" localSheetId="13">#REF!</definedName>
    <definedName name="生产列2" localSheetId="13">#REF!</definedName>
    <definedName name="生产列20" localSheetId="13">#REF!</definedName>
    <definedName name="生产列3" localSheetId="13">#REF!</definedName>
    <definedName name="生产列4" localSheetId="13">#REF!</definedName>
    <definedName name="生产列5" localSheetId="13">#REF!</definedName>
    <definedName name="生产列6" localSheetId="13">#REF!</definedName>
    <definedName name="生产列7" localSheetId="13">#REF!</definedName>
    <definedName name="生产列8" localSheetId="13">#REF!</definedName>
    <definedName name="生产列9" localSheetId="13">#REF!</definedName>
    <definedName name="生产期" localSheetId="13">#REF!</definedName>
    <definedName name="生产期1" localSheetId="13">#REF!</definedName>
    <definedName name="生产期11" localSheetId="13">#REF!</definedName>
    <definedName name="生产期123" localSheetId="13">#REF!</definedName>
    <definedName name="生产期15" localSheetId="13">#REF!</definedName>
    <definedName name="生产期16" localSheetId="13">#REF!</definedName>
    <definedName name="生产期17" localSheetId="13">#REF!</definedName>
    <definedName name="生产期18" localSheetId="13">#REF!</definedName>
    <definedName name="生产期19" localSheetId="13">#REF!</definedName>
    <definedName name="生产期2" localSheetId="13">#REF!</definedName>
    <definedName name="生产期20" localSheetId="13">#REF!</definedName>
    <definedName name="生产期3" localSheetId="13">#REF!</definedName>
    <definedName name="生产期4" localSheetId="13">#REF!</definedName>
    <definedName name="生产期5" localSheetId="13">#REF!</definedName>
    <definedName name="生产期6" localSheetId="13">#REF!</definedName>
    <definedName name="生产期7" localSheetId="13">#REF!</definedName>
    <definedName name="生产期8" localSheetId="13">#REF!</definedName>
    <definedName name="生产期9" localSheetId="13">#REF!</definedName>
    <definedName name="省级担保" localSheetId="13">OFFSET('[37]2-11担保分级表'!$C$6,,,COUNTA('[37]2-11担保分级表'!$C:$C)-1)</definedName>
    <definedName name="省级一般" localSheetId="13">OFFSET('[37]2-7一般分级表'!$C$6,,,COUNTA('[37]2-7一般分级表'!$C:$C)-1)</definedName>
    <definedName name="省级余额" localSheetId="13">OFFSET('[37]2-1余额分级表'!$C$6,,,COUNTA('[37]2-1余额分级表'!$C:$C)-1)</definedName>
    <definedName name="省级直接" localSheetId="13">OFFSET('[37]2-5直接分级表'!$C$6,,,COUNTA('[37]2-5直接分级表'!$C:$C)-1)</definedName>
    <definedName name="省级专项" localSheetId="13">OFFSET('[37]2-9专项分级表'!$C$6,,,COUNTA('[37]2-9专项分级表'!$C:$C)-1)</definedName>
    <definedName name="市级担保" localSheetId="13">OFFSET('[37]2-11担保分级表'!$E$6,,,COUNTA('[37]2-11担保分级表'!$E:$E)-1)</definedName>
    <definedName name="市级一般" localSheetId="13">OFFSET('[37]2-7一般分级表'!$E$6,,,COUNTA('[37]2-7一般分级表'!$E:$E)-1)</definedName>
    <definedName name="市级余额" localSheetId="13">OFFSET('[37]2-1余额分级表'!$E$6,,,COUNTA('[37]2-1余额分级表'!$E:$E)-1)</definedName>
    <definedName name="市级直接" localSheetId="13">OFFSET('[37]2-5直接分级表'!$E$6,,,COUNTA('[37]2-5直接分级表'!$E:$E)-1)</definedName>
    <definedName name="市级专项" localSheetId="13">OFFSET('[37]2-9专项分级表'!$E$6,,,COUNTA('[37]2-9专项分级表'!$E:$E)-1)</definedName>
    <definedName name="县级担保" localSheetId="13">OFFSET('[37]2-11担保分级表'!$G$6,,,COUNTA('[37]2-11担保分级表'!$G:$G)-1)</definedName>
    <definedName name="县级一般" localSheetId="13">OFFSET('[37]2-7一般分级表'!$G$6,,,COUNTA('[37]2-7一般分级表'!$G:$G)-1)</definedName>
    <definedName name="县级余额" localSheetId="13">OFFSET('[37]2-1余额分级表'!$G$6,,,COUNTA('[37]2-1余额分级表'!$G:$G)-1)</definedName>
    <definedName name="县级直接" localSheetId="13">OFFSET('[37]2-5直接分级表'!$G$6,,,COUNTA('[37]2-5直接分级表'!$G:$G)-1)</definedName>
    <definedName name="县级专项" localSheetId="13">OFFSET('[37]2-9专项分级表'!$G$6,,,COUNTA('[37]2-9专项分级表'!$G:$G)-1)</definedName>
    <definedName name="乡级担保" localSheetId="13">OFFSET('[37]2-11担保分级表'!$I$6,,,COUNTA('[37]2-11担保分级表'!$I:$I)-1)</definedName>
    <definedName name="乡级一般" localSheetId="13">OFFSET('[37]2-7一般分级表'!$I$6,,,COUNTA('[37]2-7一般分级表'!$I:$I)-1)</definedName>
    <definedName name="乡级余额" localSheetId="13">OFFSET('[37]2-1余额分级表'!$I$6,,,COUNTA('[37]2-1余额分级表'!$I:$I)-1)</definedName>
    <definedName name="乡级直接" localSheetId="13">OFFSET('[37]2-5直接分级表'!$I$6,,,COUNTA('[37]2-5直接分级表'!$I:$I)-1)</definedName>
    <definedName name="乡级专项" localSheetId="13">OFFSET('[37]2-9专项分级表'!$I$6,,,COUNTA('[37]2-9专项分级表'!$I:$I)-1)</definedName>
    <definedName name="项目类型" localSheetId="13">[39]基础数据!$A$1:$A$66</definedName>
    <definedName name="银行类型二" localSheetId="13">[39]基础数据!$E$1:$E$216</definedName>
    <definedName name="银行类型一" localSheetId="13">[39]基础数据!$C$1:$C$21</definedName>
    <definedName name="政策性挂账" localSheetId="13">OFFSET('[37]1-1余额表'!$H$7,,,COUNTA('[37]1-1余额表'!$H:$H)-1)</definedName>
    <definedName name="전" localSheetId="13">#REF!</definedName>
    <definedName name="주택사업본부" localSheetId="13">#REF!</definedName>
    <definedName name="철구사업본부" localSheetId="13">#REF!</definedName>
    <definedName name="_xlnm.Print_Titles" localSheetId="5">'（附表5）2021基金收入科目'!$1:$5</definedName>
    <definedName name="_xlnm.Print_Titles" localSheetId="11">'（附表11）社会保险基金收入表'!$1:$4</definedName>
    <definedName name="_123" localSheetId="7">OFFSET(#REF!,,,COUNTA(#REF!)-1)</definedName>
    <definedName name="a" localSheetId="7">#REF!</definedName>
    <definedName name="aa" localSheetId="7">#REF!</definedName>
    <definedName name="ABC" localSheetId="7">#REF!</definedName>
    <definedName name="ABD" localSheetId="7">#REF!</definedName>
    <definedName name="county" localSheetId="7">#REF!</definedName>
    <definedName name="data" localSheetId="7">#REF!</definedName>
    <definedName name="database2" localSheetId="7">#REF!</definedName>
    <definedName name="database3" localSheetId="7">#REF!</definedName>
    <definedName name="ddd" localSheetId="7">#REF!</definedName>
    <definedName name="FAMERangeexchebAD12" localSheetId="7">#REF!</definedName>
    <definedName name="FAMERangeirsAD12" localSheetId="7">#REF!</definedName>
    <definedName name="FAMERangeMGSV" localSheetId="7">#REF!</definedName>
    <definedName name="FAMERangeMGSVAB10" localSheetId="7">#REF!</definedName>
    <definedName name="FAMERangeMGSVAB11" localSheetId="7">#REF!</definedName>
    <definedName name="FAMERangeMGSVAB12" localSheetId="7">#REF!</definedName>
    <definedName name="FAMERangeMGSVAB13" localSheetId="7">#REF!</definedName>
    <definedName name="FAMERangeMGSVAB14" localSheetId="7">#REF!</definedName>
    <definedName name="FAMERangeMGSVAB15" localSheetId="7">#REF!</definedName>
    <definedName name="FAMERangeMGSVAB16" localSheetId="7">#REF!</definedName>
    <definedName name="FAMERangeMGSVAB17" localSheetId="7">#REF!</definedName>
    <definedName name="FAMERangeMGSVAB18" localSheetId="7">#REF!</definedName>
    <definedName name="FAMERangeMGSVAB19" localSheetId="7">#REF!</definedName>
    <definedName name="FAMERangeMGSVAB20" localSheetId="7">#REF!</definedName>
    <definedName name="FAMERangeMGSVAB21" localSheetId="7">#REF!</definedName>
    <definedName name="FAMERangeMGSVAB22" localSheetId="7">#REF!</definedName>
    <definedName name="FAMERangeMGSVAB23" localSheetId="7">#REF!</definedName>
    <definedName name="FAMERangeMGSVAB24" localSheetId="7">#REF!</definedName>
    <definedName name="FAMERangeMGSVAB25" localSheetId="7">#REF!</definedName>
    <definedName name="FAMERangeMGSVAB26" localSheetId="7">#REF!</definedName>
    <definedName name="FAMERangeMGSVAB27" localSheetId="7">#REF!</definedName>
    <definedName name="FAMERangeMGSVAB28" localSheetId="7">#REF!</definedName>
    <definedName name="FAMERangeMGSVAB29" localSheetId="7">#REF!</definedName>
    <definedName name="FAMERangeMGSVAB30" localSheetId="7">#REF!</definedName>
    <definedName name="FAMERangeMGSVAB31" localSheetId="7">#REF!</definedName>
    <definedName name="FAMERangeMGSVAB32" localSheetId="7">#REF!</definedName>
    <definedName name="FAMERangeMGSVAB33" localSheetId="7">#REF!</definedName>
    <definedName name="FAMERangeMGSVAB34" localSheetId="7">#REF!</definedName>
    <definedName name="FAMERangeMGSVAB35" localSheetId="7">#REF!</definedName>
    <definedName name="FAMERangeMGSVAB36" localSheetId="7">#REF!</definedName>
    <definedName name="FAMERangeMGSVAB38" localSheetId="7">#REF!</definedName>
    <definedName name="FAMERangeMGSVAB5" localSheetId="7">#REF!</definedName>
    <definedName name="FAMERangeMGSVAB6" localSheetId="7">#REF!</definedName>
    <definedName name="FAMERangeMGSVAB7" localSheetId="7">#REF!</definedName>
    <definedName name="FAMERangeMGSVAB8" localSheetId="7">#REF!</definedName>
    <definedName name="FAMERangeMGSVAB9" localSheetId="7">#REF!</definedName>
    <definedName name="FAMERangeMGSVAC10" localSheetId="7">#REF!</definedName>
    <definedName name="FAMERangeMGSVAC11" localSheetId="7">#REF!</definedName>
    <definedName name="FAMERangeMGSVAC12" localSheetId="7">#REF!</definedName>
    <definedName name="FAMERangeMGSVAC13" localSheetId="7">#REF!</definedName>
    <definedName name="FAMERangeMGSVAC14" localSheetId="7">#REF!</definedName>
    <definedName name="FAMERangeMGSVAC15" localSheetId="7">#REF!</definedName>
    <definedName name="FAMERangeMGSVAC16" localSheetId="7">#REF!</definedName>
    <definedName name="FAMERangeMGSVAC17" localSheetId="7">#REF!</definedName>
    <definedName name="FAMERangeMGSVAC18" localSheetId="7">#REF!</definedName>
    <definedName name="FAMERangeMGSVAC19" localSheetId="7">#REF!</definedName>
    <definedName name="FAMERangeMGSVAC20" localSheetId="7">#REF!</definedName>
    <definedName name="FAMERangeMGSVAC21" localSheetId="7">#REF!</definedName>
    <definedName name="FAMERangeMGSVAC22" localSheetId="7">#REF!</definedName>
    <definedName name="FAMERangeMGSVAC23" localSheetId="7">#REF!</definedName>
    <definedName name="FAMERangeMGSVAC24" localSheetId="7">#REF!</definedName>
    <definedName name="FAMERangeMGSVAC25" localSheetId="7">#REF!</definedName>
    <definedName name="FAMERangeMGSVAC26" localSheetId="7">#REF!</definedName>
    <definedName name="FAMERangeMGSVAC27" localSheetId="7">#REF!</definedName>
    <definedName name="FAMERangeMGSVAC28" localSheetId="7">#REF!</definedName>
    <definedName name="FAMERangeMGSVAC29" localSheetId="7">#REF!</definedName>
    <definedName name="FAMERangeMGSVAC30" localSheetId="7">#REF!</definedName>
    <definedName name="FAMERangeMGSVAC31" localSheetId="7">#REF!</definedName>
    <definedName name="FAMERangeMGSVAC32" localSheetId="7">#REF!</definedName>
    <definedName name="FAMERangeMGSVAC33" localSheetId="7">#REF!</definedName>
    <definedName name="FAMERangeMGSVAC34" localSheetId="7">#REF!</definedName>
    <definedName name="FAMERangeMGSVAC35" localSheetId="7">#REF!</definedName>
    <definedName name="FAMERangeMGSVAC36" localSheetId="7">#REF!</definedName>
    <definedName name="FAMERangeMGSVAC38" localSheetId="7">#REF!</definedName>
    <definedName name="FAMERangeMGSVAC5" localSheetId="7">#REF!</definedName>
    <definedName name="FAMERangeMGSVAC6" localSheetId="7">#REF!</definedName>
    <definedName name="FAMERangeMGSVAC7" localSheetId="7">#REF!</definedName>
    <definedName name="FAMERangeMGSVAC8" localSheetId="7">#REF!</definedName>
    <definedName name="FAMERangeMGSVAC9" localSheetId="7">#REF!</definedName>
    <definedName name="FAMERangeMGSVAD10" localSheetId="7">#REF!</definedName>
    <definedName name="FAMERangeMGSVAD11" localSheetId="7">#REF!</definedName>
    <definedName name="FAMERangeMGSVAD12" localSheetId="7">#REF!</definedName>
    <definedName name="FAMERangeMGSVAD13" localSheetId="7">#REF!</definedName>
    <definedName name="FAMERangeMGSVAD14" localSheetId="7">#REF!</definedName>
    <definedName name="FAMERangeMGSVAD15" localSheetId="7">#REF!</definedName>
    <definedName name="FAMERangeMGSVAD16" localSheetId="7">#REF!</definedName>
    <definedName name="FAMERangeMGSVAD17" localSheetId="7">#REF!</definedName>
    <definedName name="FAMERangeMGSVAD18" localSheetId="7">#REF!</definedName>
    <definedName name="FAMERangeMGSVAD19" localSheetId="7">#REF!</definedName>
    <definedName name="FAMERangeMGSVAD20" localSheetId="7">#REF!</definedName>
    <definedName name="FAMERangeMGSVAD21" localSheetId="7">#REF!</definedName>
    <definedName name="FAMERangeMGSVAD22" localSheetId="7">#REF!</definedName>
    <definedName name="FAMERangeMGSVAD23" localSheetId="7">#REF!</definedName>
    <definedName name="FAMERangeMGSVAD24" localSheetId="7">#REF!</definedName>
    <definedName name="FAMERangeMGSVAD25" localSheetId="7">#REF!</definedName>
    <definedName name="FAMERangeMGSVAD26" localSheetId="7">#REF!</definedName>
    <definedName name="FAMERangeMGSVAD27" localSheetId="7">#REF!</definedName>
    <definedName name="FAMERangeMGSVAD28" localSheetId="7">#REF!</definedName>
    <definedName name="FAMERangeMGSVAD29" localSheetId="7">#REF!</definedName>
    <definedName name="FAMERangeMGSVAD30" localSheetId="7">#REF!</definedName>
    <definedName name="FAMERangeMGSVAD31" localSheetId="7">#REF!</definedName>
    <definedName name="FAMERangeMGSVAD32" localSheetId="7">#REF!</definedName>
    <definedName name="FAMERangeMGSVAD33" localSheetId="7">#REF!</definedName>
    <definedName name="FAMERangeMGSVAD34" localSheetId="7">#REF!</definedName>
    <definedName name="FAMERangeMGSVAD35" localSheetId="7">#REF!</definedName>
    <definedName name="FAMERangeMGSVAD36" localSheetId="7">#REF!</definedName>
    <definedName name="FAMERangeMGSVAD38" localSheetId="7">#REF!</definedName>
    <definedName name="FAMERangeMGSVAD5" localSheetId="7">#REF!</definedName>
    <definedName name="FAMERangeMGSVAD6" localSheetId="7">#REF!</definedName>
    <definedName name="FAMERangeMGSVAD7" localSheetId="7">#REF!</definedName>
    <definedName name="FAMERangeMGSVAD8" localSheetId="7">#REF!</definedName>
    <definedName name="FAMERangeMGSVAD9" localSheetId="7">#REF!</definedName>
    <definedName name="fjsldkfjsdljflsdkjf" localSheetId="7">#REF!</definedName>
    <definedName name="hhhh" localSheetId="7">#REF!</definedName>
    <definedName name="kkkk" localSheetId="7">#REF!</definedName>
    <definedName name="Print_Area_MI" localSheetId="7">#REF!</definedName>
    <definedName name="qqqqqqqqqqqqqqqqqqqqqqq" localSheetId="7">#REF!</definedName>
    <definedName name="sheng" localSheetId="7">#REF!</definedName>
    <definedName name="summary" localSheetId="7">#REF!</definedName>
    <definedName name="UniqueRange_37" localSheetId="7">#REF!</definedName>
    <definedName name="UniqueRange_38" localSheetId="7">#REF!</definedName>
    <definedName name="UniqueRange_39" localSheetId="7">#REF!</definedName>
    <definedName name="UniqueRange_40" localSheetId="7">#REF!</definedName>
    <definedName name="UniqueRange_41" localSheetId="7">#REF!</definedName>
    <definedName name="UniqueRange_42" localSheetId="7">#REF!</definedName>
    <definedName name="UniqueRange_43" localSheetId="7">#REF!</definedName>
    <definedName name="UniqueRange_44" localSheetId="7">#REF!</definedName>
    <definedName name="UniqueRange_45" localSheetId="7">#REF!</definedName>
    <definedName name="UniqueRange_46" localSheetId="7">#REF!</definedName>
    <definedName name="UniqueRange_47" localSheetId="7">#REF!</definedName>
    <definedName name="北京市行政区划" localSheetId="7">#REF!</definedName>
    <definedName name="财政供养" localSheetId="7">#REF!</definedName>
    <definedName name="处室" localSheetId="7">#REF!</definedName>
    <definedName name="还有" localSheetId="7">#REF!</definedName>
    <definedName name="汇率" localSheetId="7">#REF!</definedName>
    <definedName name="基金处室" localSheetId="7">#REF!</definedName>
    <definedName name="基金金额" localSheetId="7">#REF!</definedName>
    <definedName name="基金科目" localSheetId="7">#REF!</definedName>
    <definedName name="基金类型" localSheetId="7">#REF!</definedName>
    <definedName name="金额" localSheetId="7">#REF!</definedName>
    <definedName name="科目" localSheetId="7">#REF!</definedName>
    <definedName name="类型" localSheetId="7">#REF!</definedName>
    <definedName name="区划" localSheetId="7">#REF!</definedName>
    <definedName name="生产列1" localSheetId="7">#REF!</definedName>
    <definedName name="生产列11" localSheetId="7">#REF!</definedName>
    <definedName name="生产列15" localSheetId="7">#REF!</definedName>
    <definedName name="生产列16" localSheetId="7">#REF!</definedName>
    <definedName name="生产列17" localSheetId="7">#REF!</definedName>
    <definedName name="生产列19" localSheetId="7">#REF!</definedName>
    <definedName name="生产列2" localSheetId="7">#REF!</definedName>
    <definedName name="生产列20" localSheetId="7">#REF!</definedName>
    <definedName name="生产列3" localSheetId="7">#REF!</definedName>
    <definedName name="生产列4" localSheetId="7">#REF!</definedName>
    <definedName name="生产列5" localSheetId="7">#REF!</definedName>
    <definedName name="生产列6" localSheetId="7">#REF!</definedName>
    <definedName name="生产列7" localSheetId="7">#REF!</definedName>
    <definedName name="生产列8" localSheetId="7">#REF!</definedName>
    <definedName name="生产列9" localSheetId="7">#REF!</definedName>
    <definedName name="生产期" localSheetId="7">#REF!</definedName>
    <definedName name="生产期1" localSheetId="7">#REF!</definedName>
    <definedName name="生产期11" localSheetId="7">#REF!</definedName>
    <definedName name="生产期123" localSheetId="7">#REF!</definedName>
    <definedName name="生产期15" localSheetId="7">#REF!</definedName>
    <definedName name="生产期16" localSheetId="7">#REF!</definedName>
    <definedName name="生产期17" localSheetId="7">#REF!</definedName>
    <definedName name="生产期18" localSheetId="7">#REF!</definedName>
    <definedName name="生产期19" localSheetId="7">#REF!</definedName>
    <definedName name="生产期2" localSheetId="7">#REF!</definedName>
    <definedName name="生产期20" localSheetId="7">#REF!</definedName>
    <definedName name="生产期3" localSheetId="7">#REF!</definedName>
    <definedName name="生产期4" localSheetId="7">#REF!</definedName>
    <definedName name="生产期5" localSheetId="7">#REF!</definedName>
    <definedName name="生产期6" localSheetId="7">#REF!</definedName>
    <definedName name="生产期7" localSheetId="7">#REF!</definedName>
    <definedName name="生产期8" localSheetId="7">#REF!</definedName>
    <definedName name="生产期9" localSheetId="7">#REF!</definedName>
    <definedName name="전" localSheetId="7">#REF!</definedName>
    <definedName name="주택사업본부" localSheetId="7">#REF!</definedName>
    <definedName name="철구사업본부" localSheetId="7">#REF!</definedName>
    <definedName name="_xlnm.Print_Titles" localSheetId="7">'（附表7）2021年基金支出科目'!$1:$5</definedName>
    <definedName name="_xlnm.Print_Area" localSheetId="7">'（附表7）2021年基金支出科目'!$A$1:$Q$76</definedName>
    <definedName name="_xlnm.Print_Area" localSheetId="2">'（附表2）公共财政预算支出计划调整'!$A$1:$O$428</definedName>
    <definedName name="_xlnm.Print_Titles" localSheetId="2">'（附表2）公共财政预算支出计划调整'!$1:$5</definedName>
    <definedName name="_xlnm._FilterDatabase" localSheetId="16" hidden="1">'附表14-2'!$A$4:$IV$278</definedName>
    <definedName name="_xlnm.Print_Titles" localSheetId="15">'附表14-1'!$1:$4</definedName>
    <definedName name="_xlnm.Print_Titles" localSheetId="16">'附表14-2'!$1:$4</definedName>
    <definedName name="_123" localSheetId="9">OFFSET(#REF!,,,COUNTA(#REF!)-1)</definedName>
    <definedName name="a" localSheetId="9">#REF!</definedName>
    <definedName name="aa" localSheetId="9">#REF!</definedName>
    <definedName name="ABC" localSheetId="9">#REF!</definedName>
    <definedName name="ABD" localSheetId="9">#REF!</definedName>
    <definedName name="county" localSheetId="9">#REF!</definedName>
    <definedName name="data" localSheetId="9">#REF!</definedName>
    <definedName name="database2" localSheetId="9">#REF!</definedName>
    <definedName name="database3" localSheetId="9">#REF!</definedName>
    <definedName name="ddd" localSheetId="9">#REF!</definedName>
    <definedName name="FAMERangeexchebAD12" localSheetId="9">#REF!</definedName>
    <definedName name="FAMERangeirsAD12" localSheetId="9">#REF!</definedName>
    <definedName name="FAMERangeMGSV" localSheetId="9">#REF!</definedName>
    <definedName name="FAMERangeMGSVAB10" localSheetId="9">#REF!</definedName>
    <definedName name="FAMERangeMGSVAB11" localSheetId="9">#REF!</definedName>
    <definedName name="FAMERangeMGSVAB12" localSheetId="9">#REF!</definedName>
    <definedName name="FAMERangeMGSVAB13" localSheetId="9">#REF!</definedName>
    <definedName name="FAMERangeMGSVAB14" localSheetId="9">#REF!</definedName>
    <definedName name="FAMERangeMGSVAB15" localSheetId="9">#REF!</definedName>
    <definedName name="FAMERangeMGSVAB16" localSheetId="9">#REF!</definedName>
    <definedName name="FAMERangeMGSVAB17" localSheetId="9">#REF!</definedName>
    <definedName name="FAMERangeMGSVAB18" localSheetId="9">#REF!</definedName>
    <definedName name="FAMERangeMGSVAB19" localSheetId="9">#REF!</definedName>
    <definedName name="FAMERangeMGSVAB20" localSheetId="9">#REF!</definedName>
    <definedName name="FAMERangeMGSVAB21" localSheetId="9">#REF!</definedName>
    <definedName name="FAMERangeMGSVAB22" localSheetId="9">#REF!</definedName>
    <definedName name="FAMERangeMGSVAB23" localSheetId="9">#REF!</definedName>
    <definedName name="FAMERangeMGSVAB24" localSheetId="9">#REF!</definedName>
    <definedName name="FAMERangeMGSVAB25" localSheetId="9">#REF!</definedName>
    <definedName name="FAMERangeMGSVAB26" localSheetId="9">#REF!</definedName>
    <definedName name="FAMERangeMGSVAB27" localSheetId="9">#REF!</definedName>
    <definedName name="FAMERangeMGSVAB28" localSheetId="9">#REF!</definedName>
    <definedName name="FAMERangeMGSVAB29" localSheetId="9">#REF!</definedName>
    <definedName name="FAMERangeMGSVAB30" localSheetId="9">#REF!</definedName>
    <definedName name="FAMERangeMGSVAB31" localSheetId="9">#REF!</definedName>
    <definedName name="FAMERangeMGSVAB32" localSheetId="9">#REF!</definedName>
    <definedName name="FAMERangeMGSVAB33" localSheetId="9">#REF!</definedName>
    <definedName name="FAMERangeMGSVAB34" localSheetId="9">#REF!</definedName>
    <definedName name="FAMERangeMGSVAB35" localSheetId="9">#REF!</definedName>
    <definedName name="FAMERangeMGSVAB36" localSheetId="9">#REF!</definedName>
    <definedName name="FAMERangeMGSVAB38" localSheetId="9">#REF!</definedName>
    <definedName name="FAMERangeMGSVAB5" localSheetId="9">#REF!</definedName>
    <definedName name="FAMERangeMGSVAB6" localSheetId="9">#REF!</definedName>
    <definedName name="FAMERangeMGSVAB7" localSheetId="9">#REF!</definedName>
    <definedName name="FAMERangeMGSVAB8" localSheetId="9">#REF!</definedName>
    <definedName name="FAMERangeMGSVAB9" localSheetId="9">#REF!</definedName>
    <definedName name="FAMERangeMGSVAC10" localSheetId="9">#REF!</definedName>
    <definedName name="FAMERangeMGSVAC11" localSheetId="9">#REF!</definedName>
    <definedName name="FAMERangeMGSVAC12" localSheetId="9">#REF!</definedName>
    <definedName name="FAMERangeMGSVAC13" localSheetId="9">#REF!</definedName>
    <definedName name="FAMERangeMGSVAC14" localSheetId="9">#REF!</definedName>
    <definedName name="FAMERangeMGSVAC15" localSheetId="9">#REF!</definedName>
    <definedName name="FAMERangeMGSVAC16" localSheetId="9">#REF!</definedName>
    <definedName name="FAMERangeMGSVAC17" localSheetId="9">#REF!</definedName>
    <definedName name="FAMERangeMGSVAC18" localSheetId="9">#REF!</definedName>
    <definedName name="FAMERangeMGSVAC19" localSheetId="9">#REF!</definedName>
    <definedName name="FAMERangeMGSVAC20" localSheetId="9">#REF!</definedName>
    <definedName name="FAMERangeMGSVAC21" localSheetId="9">#REF!</definedName>
    <definedName name="FAMERangeMGSVAC22" localSheetId="9">#REF!</definedName>
    <definedName name="FAMERangeMGSVAC23" localSheetId="9">#REF!</definedName>
    <definedName name="FAMERangeMGSVAC24" localSheetId="9">#REF!</definedName>
    <definedName name="FAMERangeMGSVAC25" localSheetId="9">#REF!</definedName>
    <definedName name="FAMERangeMGSVAC26" localSheetId="9">#REF!</definedName>
    <definedName name="FAMERangeMGSVAC27" localSheetId="9">#REF!</definedName>
    <definedName name="FAMERangeMGSVAC28" localSheetId="9">#REF!</definedName>
    <definedName name="FAMERangeMGSVAC29" localSheetId="9">#REF!</definedName>
    <definedName name="FAMERangeMGSVAC30" localSheetId="9">#REF!</definedName>
    <definedName name="FAMERangeMGSVAC31" localSheetId="9">#REF!</definedName>
    <definedName name="FAMERangeMGSVAC32" localSheetId="9">#REF!</definedName>
    <definedName name="FAMERangeMGSVAC33" localSheetId="9">#REF!</definedName>
    <definedName name="FAMERangeMGSVAC34" localSheetId="9">#REF!</definedName>
    <definedName name="FAMERangeMGSVAC35" localSheetId="9">#REF!</definedName>
    <definedName name="FAMERangeMGSVAC36" localSheetId="9">#REF!</definedName>
    <definedName name="FAMERangeMGSVAC38" localSheetId="9">#REF!</definedName>
    <definedName name="FAMERangeMGSVAC5" localSheetId="9">#REF!</definedName>
    <definedName name="FAMERangeMGSVAC6" localSheetId="9">#REF!</definedName>
    <definedName name="FAMERangeMGSVAC7" localSheetId="9">#REF!</definedName>
    <definedName name="FAMERangeMGSVAC8" localSheetId="9">#REF!</definedName>
    <definedName name="FAMERangeMGSVAC9" localSheetId="9">#REF!</definedName>
    <definedName name="FAMERangeMGSVAD10" localSheetId="9">#REF!</definedName>
    <definedName name="FAMERangeMGSVAD11" localSheetId="9">#REF!</definedName>
    <definedName name="FAMERangeMGSVAD12" localSheetId="9">#REF!</definedName>
    <definedName name="FAMERangeMGSVAD13" localSheetId="9">#REF!</definedName>
    <definedName name="FAMERangeMGSVAD14" localSheetId="9">#REF!</definedName>
    <definedName name="FAMERangeMGSVAD15" localSheetId="9">#REF!</definedName>
    <definedName name="FAMERangeMGSVAD16" localSheetId="9">#REF!</definedName>
    <definedName name="FAMERangeMGSVAD17" localSheetId="9">#REF!</definedName>
    <definedName name="FAMERangeMGSVAD18" localSheetId="9">#REF!</definedName>
    <definedName name="FAMERangeMGSVAD19" localSheetId="9">#REF!</definedName>
    <definedName name="FAMERangeMGSVAD20" localSheetId="9">#REF!</definedName>
    <definedName name="FAMERangeMGSVAD21" localSheetId="9">#REF!</definedName>
    <definedName name="FAMERangeMGSVAD22" localSheetId="9">#REF!</definedName>
    <definedName name="FAMERangeMGSVAD23" localSheetId="9">#REF!</definedName>
    <definedName name="FAMERangeMGSVAD24" localSheetId="9">#REF!</definedName>
    <definedName name="FAMERangeMGSVAD25" localSheetId="9">#REF!</definedName>
    <definedName name="FAMERangeMGSVAD26" localSheetId="9">#REF!</definedName>
    <definedName name="FAMERangeMGSVAD27" localSheetId="9">#REF!</definedName>
    <definedName name="FAMERangeMGSVAD28" localSheetId="9">#REF!</definedName>
    <definedName name="FAMERangeMGSVAD29" localSheetId="9">#REF!</definedName>
    <definedName name="FAMERangeMGSVAD30" localSheetId="9">#REF!</definedName>
    <definedName name="FAMERangeMGSVAD31" localSheetId="9">#REF!</definedName>
    <definedName name="FAMERangeMGSVAD32" localSheetId="9">#REF!</definedName>
    <definedName name="FAMERangeMGSVAD33" localSheetId="9">#REF!</definedName>
    <definedName name="FAMERangeMGSVAD34" localSheetId="9">#REF!</definedName>
    <definedName name="FAMERangeMGSVAD35" localSheetId="9">#REF!</definedName>
    <definedName name="FAMERangeMGSVAD36" localSheetId="9">#REF!</definedName>
    <definedName name="FAMERangeMGSVAD38" localSheetId="9">#REF!</definedName>
    <definedName name="FAMERangeMGSVAD5" localSheetId="9">#REF!</definedName>
    <definedName name="FAMERangeMGSVAD6" localSheetId="9">#REF!</definedName>
    <definedName name="FAMERangeMGSVAD7" localSheetId="9">#REF!</definedName>
    <definedName name="FAMERangeMGSVAD8" localSheetId="9">#REF!</definedName>
    <definedName name="FAMERangeMGSVAD9" localSheetId="9">#REF!</definedName>
    <definedName name="fjsldkfjsdljflsdkjf" localSheetId="9">#REF!</definedName>
    <definedName name="hhhh" localSheetId="9">#REF!</definedName>
    <definedName name="kkkk" localSheetId="9">#REF!</definedName>
    <definedName name="Print_Area_MI" localSheetId="9">#REF!</definedName>
    <definedName name="qqqqqqqqqqqqqqqqqqqqqqq" localSheetId="9">#REF!</definedName>
    <definedName name="sheng" localSheetId="9">#REF!</definedName>
    <definedName name="summary" localSheetId="9">#REF!</definedName>
    <definedName name="UniqueRange_37" localSheetId="9">#REF!</definedName>
    <definedName name="UniqueRange_38" localSheetId="9">#REF!</definedName>
    <definedName name="UniqueRange_39" localSheetId="9">#REF!</definedName>
    <definedName name="UniqueRange_40" localSheetId="9">#REF!</definedName>
    <definedName name="UniqueRange_41" localSheetId="9">#REF!</definedName>
    <definedName name="UniqueRange_42" localSheetId="9">#REF!</definedName>
    <definedName name="UniqueRange_43" localSheetId="9">#REF!</definedName>
    <definedName name="UniqueRange_44" localSheetId="9">#REF!</definedName>
    <definedName name="UniqueRange_45" localSheetId="9">#REF!</definedName>
    <definedName name="UniqueRange_46" localSheetId="9">#REF!</definedName>
    <definedName name="UniqueRange_47" localSheetId="9">#REF!</definedName>
    <definedName name="北京市行政区划" localSheetId="9">#REF!</definedName>
    <definedName name="本年" localSheetId="9">'[36]1-4余额表'!$L$3</definedName>
    <definedName name="财政供养" localSheetId="9">#REF!</definedName>
    <definedName name="处室" localSheetId="9">#REF!</definedName>
    <definedName name="当年" localSheetId="9">'[37]1-1余额表'!$L$1</definedName>
    <definedName name="地区" localSheetId="9">OFFSET('[37]1-1余额表'!$A$7,,,COUNTA('[37]1-1余额表'!$A:$A)-1)</definedName>
    <definedName name="地区名称" localSheetId="9">'[38]01北京市'!#REF!</definedName>
    <definedName name="还有" localSheetId="9">#REF!</definedName>
    <definedName name="汇率" localSheetId="9">#REF!</definedName>
    <definedName name="基金处室" localSheetId="9">#REF!</definedName>
    <definedName name="基金金额" localSheetId="9">#REF!</definedName>
    <definedName name="基金科目" localSheetId="9">#REF!</definedName>
    <definedName name="基金类型" localSheetId="9">#REF!</definedName>
    <definedName name="金额" localSheetId="9">#REF!</definedName>
    <definedName name="科目" localSheetId="9">#REF!</definedName>
    <definedName name="类型" localSheetId="9">#REF!</definedName>
    <definedName name="区划" localSheetId="9">#REF!</definedName>
    <definedName name="去年" localSheetId="9">'[36]1-4余额表'!$L$4</definedName>
    <definedName name="全部担保" localSheetId="9">OFFSET('[37]1-1余额表'!$G$7,,,COUNTA('[37]1-1余额表'!$G:$G)-1)</definedName>
    <definedName name="全部一般" localSheetId="9">OFFSET('[37]1-1余额表'!$E$7,,,COUNTA('[37]1-1余额表'!$E:$E)-1)</definedName>
    <definedName name="全部余额" localSheetId="9">OFFSET('[37]1-1余额表'!$C$7,,,COUNTA('[37]1-1余额表'!$C:$C)-1)</definedName>
    <definedName name="全部直接" localSheetId="9">OFFSET('[37]1-1余额表'!$D$7,,,COUNTA('[37]1-1余额表'!$D:$D)-1)</definedName>
    <definedName name="全部专项" localSheetId="9">OFFSET('[37]1-1余额表'!$F$7,,,COUNTA('[37]1-1余额表'!$F:$F)-1)</definedName>
    <definedName name="上年" localSheetId="9">'[36]1-4余额表'!$L$2</definedName>
    <definedName name="生产列1" localSheetId="9">#REF!</definedName>
    <definedName name="生产列11" localSheetId="9">#REF!</definedName>
    <definedName name="生产列15" localSheetId="9">#REF!</definedName>
    <definedName name="生产列16" localSheetId="9">#REF!</definedName>
    <definedName name="生产列17" localSheetId="9">#REF!</definedName>
    <definedName name="生产列19" localSheetId="9">#REF!</definedName>
    <definedName name="生产列2" localSheetId="9">#REF!</definedName>
    <definedName name="生产列20" localSheetId="9">#REF!</definedName>
    <definedName name="生产列3" localSheetId="9">#REF!</definedName>
    <definedName name="生产列4" localSheetId="9">#REF!</definedName>
    <definedName name="生产列5" localSheetId="9">#REF!</definedName>
    <definedName name="生产列6" localSheetId="9">#REF!</definedName>
    <definedName name="生产列7" localSheetId="9">#REF!</definedName>
    <definedName name="生产列8" localSheetId="9">#REF!</definedName>
    <definedName name="生产列9" localSheetId="9">#REF!</definedName>
    <definedName name="生产期" localSheetId="9">#REF!</definedName>
    <definedName name="生产期1" localSheetId="9">#REF!</definedName>
    <definedName name="生产期11" localSheetId="9">#REF!</definedName>
    <definedName name="生产期123" localSheetId="9">#REF!</definedName>
    <definedName name="生产期15" localSheetId="9">#REF!</definedName>
    <definedName name="生产期16" localSheetId="9">#REF!</definedName>
    <definedName name="生产期17" localSheetId="9">#REF!</definedName>
    <definedName name="生产期18" localSheetId="9">#REF!</definedName>
    <definedName name="生产期19" localSheetId="9">#REF!</definedName>
    <definedName name="生产期2" localSheetId="9">#REF!</definedName>
    <definedName name="生产期20" localSheetId="9">#REF!</definedName>
    <definedName name="生产期3" localSheetId="9">#REF!</definedName>
    <definedName name="生产期4" localSheetId="9">#REF!</definedName>
    <definedName name="生产期5" localSheetId="9">#REF!</definedName>
    <definedName name="生产期6" localSheetId="9">#REF!</definedName>
    <definedName name="生产期7" localSheetId="9">#REF!</definedName>
    <definedName name="生产期8" localSheetId="9">#REF!</definedName>
    <definedName name="生产期9" localSheetId="9">#REF!</definedName>
    <definedName name="省级担保" localSheetId="9">OFFSET('[37]2-11担保分级表'!$C$6,,,COUNTA('[37]2-11担保分级表'!$C:$C)-1)</definedName>
    <definedName name="省级一般" localSheetId="9">OFFSET('[37]2-7一般分级表'!$C$6,,,COUNTA('[37]2-7一般分级表'!$C:$C)-1)</definedName>
    <definedName name="省级余额" localSheetId="9">OFFSET('[37]2-1余额分级表'!$C$6,,,COUNTA('[37]2-1余额分级表'!$C:$C)-1)</definedName>
    <definedName name="省级直接" localSheetId="9">OFFSET('[37]2-5直接分级表'!$C$6,,,COUNTA('[37]2-5直接分级表'!$C:$C)-1)</definedName>
    <definedName name="省级专项" localSheetId="9">OFFSET('[37]2-9专项分级表'!$C$6,,,COUNTA('[37]2-9专项分级表'!$C:$C)-1)</definedName>
    <definedName name="市级担保" localSheetId="9">OFFSET('[37]2-11担保分级表'!$E$6,,,COUNTA('[37]2-11担保分级表'!$E:$E)-1)</definedName>
    <definedName name="市级一般" localSheetId="9">OFFSET('[37]2-7一般分级表'!$E$6,,,COUNTA('[37]2-7一般分级表'!$E:$E)-1)</definedName>
    <definedName name="市级余额" localSheetId="9">OFFSET('[37]2-1余额分级表'!$E$6,,,COUNTA('[37]2-1余额分级表'!$E:$E)-1)</definedName>
    <definedName name="市级直接" localSheetId="9">OFFSET('[37]2-5直接分级表'!$E$6,,,COUNTA('[37]2-5直接分级表'!$E:$E)-1)</definedName>
    <definedName name="市级专项" localSheetId="9">OFFSET('[37]2-9专项分级表'!$E$6,,,COUNTA('[37]2-9专项分级表'!$E:$E)-1)</definedName>
    <definedName name="县级担保" localSheetId="9">OFFSET('[37]2-11担保分级表'!$G$6,,,COUNTA('[37]2-11担保分级表'!$G:$G)-1)</definedName>
    <definedName name="县级一般" localSheetId="9">OFFSET('[37]2-7一般分级表'!$G$6,,,COUNTA('[37]2-7一般分级表'!$G:$G)-1)</definedName>
    <definedName name="县级余额" localSheetId="9">OFFSET('[37]2-1余额分级表'!$G$6,,,COUNTA('[37]2-1余额分级表'!$G:$G)-1)</definedName>
    <definedName name="县级直接" localSheetId="9">OFFSET('[37]2-5直接分级表'!$G$6,,,COUNTA('[37]2-5直接分级表'!$G:$G)-1)</definedName>
    <definedName name="县级专项" localSheetId="9">OFFSET('[37]2-9专项分级表'!$G$6,,,COUNTA('[37]2-9专项分级表'!$G:$G)-1)</definedName>
    <definedName name="乡级担保" localSheetId="9">OFFSET('[37]2-11担保分级表'!$I$6,,,COUNTA('[37]2-11担保分级表'!$I:$I)-1)</definedName>
    <definedName name="乡级一般" localSheetId="9">OFFSET('[37]2-7一般分级表'!$I$6,,,COUNTA('[37]2-7一般分级表'!$I:$I)-1)</definedName>
    <definedName name="乡级余额" localSheetId="9">OFFSET('[37]2-1余额分级表'!$I$6,,,COUNTA('[37]2-1余额分级表'!$I:$I)-1)</definedName>
    <definedName name="乡级直接" localSheetId="9">OFFSET('[37]2-5直接分级表'!$I$6,,,COUNTA('[37]2-5直接分级表'!$I:$I)-1)</definedName>
    <definedName name="乡级专项" localSheetId="9">OFFSET('[37]2-9专项分级表'!$I$6,,,COUNTA('[37]2-9专项分级表'!$I:$I)-1)</definedName>
    <definedName name="项目类型" localSheetId="9">[39]基础数据!$A$1:$A$66</definedName>
    <definedName name="银行类型二" localSheetId="9">[39]基础数据!$E$1:$E$216</definedName>
    <definedName name="银行类型一" localSheetId="9">[39]基础数据!$C$1:$C$21</definedName>
    <definedName name="政策性挂账" localSheetId="9">OFFSET('[37]1-1余额表'!$H$7,,,COUNTA('[37]1-1余额表'!$H:$H)-1)</definedName>
    <definedName name="전" localSheetId="9">#REF!</definedName>
    <definedName name="주택사업본부" localSheetId="9">#REF!</definedName>
    <definedName name="철구사업본부" localSheetId="9">#REF!</definedName>
    <definedName name="_123" localSheetId="10">OFFSET(#REF!,,,COUNTA(#REF!)-1)</definedName>
    <definedName name="a" localSheetId="10">#REF!</definedName>
    <definedName name="aa" localSheetId="10">#REF!</definedName>
    <definedName name="ABC" localSheetId="10">#REF!</definedName>
    <definedName name="ABD" localSheetId="10">#REF!</definedName>
    <definedName name="county" localSheetId="10">#REF!</definedName>
    <definedName name="data" localSheetId="10">#REF!</definedName>
    <definedName name="database2" localSheetId="10">#REF!</definedName>
    <definedName name="database3" localSheetId="10">#REF!</definedName>
    <definedName name="ddd" localSheetId="10">#REF!</definedName>
    <definedName name="FAMERangeexchebAD12" localSheetId="10">#REF!</definedName>
    <definedName name="FAMERangeirsAD12" localSheetId="10">#REF!</definedName>
    <definedName name="FAMERangeMGSV" localSheetId="10">#REF!</definedName>
    <definedName name="FAMERangeMGSVAB10" localSheetId="10">#REF!</definedName>
    <definedName name="FAMERangeMGSVAB11" localSheetId="10">#REF!</definedName>
    <definedName name="FAMERangeMGSVAB12" localSheetId="10">#REF!</definedName>
    <definedName name="FAMERangeMGSVAB13" localSheetId="10">#REF!</definedName>
    <definedName name="FAMERangeMGSVAB14" localSheetId="10">#REF!</definedName>
    <definedName name="FAMERangeMGSVAB15" localSheetId="10">#REF!</definedName>
    <definedName name="FAMERangeMGSVAB16" localSheetId="10">#REF!</definedName>
    <definedName name="FAMERangeMGSVAB17" localSheetId="10">#REF!</definedName>
    <definedName name="FAMERangeMGSVAB18" localSheetId="10">#REF!</definedName>
    <definedName name="FAMERangeMGSVAB19" localSheetId="10">#REF!</definedName>
    <definedName name="FAMERangeMGSVAB20" localSheetId="10">#REF!</definedName>
    <definedName name="FAMERangeMGSVAB21" localSheetId="10">#REF!</definedName>
    <definedName name="FAMERangeMGSVAB22" localSheetId="10">#REF!</definedName>
    <definedName name="FAMERangeMGSVAB23" localSheetId="10">#REF!</definedName>
    <definedName name="FAMERangeMGSVAB24" localSheetId="10">#REF!</definedName>
    <definedName name="FAMERangeMGSVAB25" localSheetId="10">#REF!</definedName>
    <definedName name="FAMERangeMGSVAB26" localSheetId="10">#REF!</definedName>
    <definedName name="FAMERangeMGSVAB27" localSheetId="10">#REF!</definedName>
    <definedName name="FAMERangeMGSVAB28" localSheetId="10">#REF!</definedName>
    <definedName name="FAMERangeMGSVAB29" localSheetId="10">#REF!</definedName>
    <definedName name="FAMERangeMGSVAB30" localSheetId="10">#REF!</definedName>
    <definedName name="FAMERangeMGSVAB31" localSheetId="10">#REF!</definedName>
    <definedName name="FAMERangeMGSVAB32" localSheetId="10">#REF!</definedName>
    <definedName name="FAMERangeMGSVAB33" localSheetId="10">#REF!</definedName>
    <definedName name="FAMERangeMGSVAB34" localSheetId="10">#REF!</definedName>
    <definedName name="FAMERangeMGSVAB35" localSheetId="10">#REF!</definedName>
    <definedName name="FAMERangeMGSVAB36" localSheetId="10">#REF!</definedName>
    <definedName name="FAMERangeMGSVAB38" localSheetId="10">#REF!</definedName>
    <definedName name="FAMERangeMGSVAB5" localSheetId="10">#REF!</definedName>
    <definedName name="FAMERangeMGSVAB6" localSheetId="10">#REF!</definedName>
    <definedName name="FAMERangeMGSVAB7" localSheetId="10">#REF!</definedName>
    <definedName name="FAMERangeMGSVAB8" localSheetId="10">#REF!</definedName>
    <definedName name="FAMERangeMGSVAB9" localSheetId="10">#REF!</definedName>
    <definedName name="FAMERangeMGSVAC10" localSheetId="10">#REF!</definedName>
    <definedName name="FAMERangeMGSVAC11" localSheetId="10">#REF!</definedName>
    <definedName name="FAMERangeMGSVAC12" localSheetId="10">#REF!</definedName>
    <definedName name="FAMERangeMGSVAC13" localSheetId="10">#REF!</definedName>
    <definedName name="FAMERangeMGSVAC14" localSheetId="10">#REF!</definedName>
    <definedName name="FAMERangeMGSVAC15" localSheetId="10">#REF!</definedName>
    <definedName name="FAMERangeMGSVAC16" localSheetId="10">#REF!</definedName>
    <definedName name="FAMERangeMGSVAC17" localSheetId="10">#REF!</definedName>
    <definedName name="FAMERangeMGSVAC18" localSheetId="10">#REF!</definedName>
    <definedName name="FAMERangeMGSVAC19" localSheetId="10">#REF!</definedName>
    <definedName name="FAMERangeMGSVAC20" localSheetId="10">#REF!</definedName>
    <definedName name="FAMERangeMGSVAC21" localSheetId="10">#REF!</definedName>
    <definedName name="FAMERangeMGSVAC22" localSheetId="10">#REF!</definedName>
    <definedName name="FAMERangeMGSVAC23" localSheetId="10">#REF!</definedName>
    <definedName name="FAMERangeMGSVAC24" localSheetId="10">#REF!</definedName>
    <definedName name="FAMERangeMGSVAC25" localSheetId="10">#REF!</definedName>
    <definedName name="FAMERangeMGSVAC26" localSheetId="10">#REF!</definedName>
    <definedName name="FAMERangeMGSVAC27" localSheetId="10">#REF!</definedName>
    <definedName name="FAMERangeMGSVAC28" localSheetId="10">#REF!</definedName>
    <definedName name="FAMERangeMGSVAC29" localSheetId="10">#REF!</definedName>
    <definedName name="FAMERangeMGSVAC30" localSheetId="10">#REF!</definedName>
    <definedName name="FAMERangeMGSVAC31" localSheetId="10">#REF!</definedName>
    <definedName name="FAMERangeMGSVAC32" localSheetId="10">#REF!</definedName>
    <definedName name="FAMERangeMGSVAC33" localSheetId="10">#REF!</definedName>
    <definedName name="FAMERangeMGSVAC34" localSheetId="10">#REF!</definedName>
    <definedName name="FAMERangeMGSVAC35" localSheetId="10">#REF!</definedName>
    <definedName name="FAMERangeMGSVAC36" localSheetId="10">#REF!</definedName>
    <definedName name="FAMERangeMGSVAC38" localSheetId="10">#REF!</definedName>
    <definedName name="FAMERangeMGSVAC5" localSheetId="10">#REF!</definedName>
    <definedName name="FAMERangeMGSVAC6" localSheetId="10">#REF!</definedName>
    <definedName name="FAMERangeMGSVAC7" localSheetId="10">#REF!</definedName>
    <definedName name="FAMERangeMGSVAC8" localSheetId="10">#REF!</definedName>
    <definedName name="FAMERangeMGSVAC9" localSheetId="10">#REF!</definedName>
    <definedName name="FAMERangeMGSVAD10" localSheetId="10">#REF!</definedName>
    <definedName name="FAMERangeMGSVAD11" localSheetId="10">#REF!</definedName>
    <definedName name="FAMERangeMGSVAD12" localSheetId="10">#REF!</definedName>
    <definedName name="FAMERangeMGSVAD13" localSheetId="10">#REF!</definedName>
    <definedName name="FAMERangeMGSVAD14" localSheetId="10">#REF!</definedName>
    <definedName name="FAMERangeMGSVAD15" localSheetId="10">#REF!</definedName>
    <definedName name="FAMERangeMGSVAD16" localSheetId="10">#REF!</definedName>
    <definedName name="FAMERangeMGSVAD17" localSheetId="10">#REF!</definedName>
    <definedName name="FAMERangeMGSVAD18" localSheetId="10">#REF!</definedName>
    <definedName name="FAMERangeMGSVAD19" localSheetId="10">#REF!</definedName>
    <definedName name="FAMERangeMGSVAD20" localSheetId="10">#REF!</definedName>
    <definedName name="FAMERangeMGSVAD21" localSheetId="10">#REF!</definedName>
    <definedName name="FAMERangeMGSVAD22" localSheetId="10">#REF!</definedName>
    <definedName name="FAMERangeMGSVAD23" localSheetId="10">#REF!</definedName>
    <definedName name="FAMERangeMGSVAD24" localSheetId="10">#REF!</definedName>
    <definedName name="FAMERangeMGSVAD25" localSheetId="10">#REF!</definedName>
    <definedName name="FAMERangeMGSVAD26" localSheetId="10">#REF!</definedName>
    <definedName name="FAMERangeMGSVAD27" localSheetId="10">#REF!</definedName>
    <definedName name="FAMERangeMGSVAD28" localSheetId="10">#REF!</definedName>
    <definedName name="FAMERangeMGSVAD29" localSheetId="10">#REF!</definedName>
    <definedName name="FAMERangeMGSVAD30" localSheetId="10">#REF!</definedName>
    <definedName name="FAMERangeMGSVAD31" localSheetId="10">#REF!</definedName>
    <definedName name="FAMERangeMGSVAD32" localSheetId="10">#REF!</definedName>
    <definedName name="FAMERangeMGSVAD33" localSheetId="10">#REF!</definedName>
    <definedName name="FAMERangeMGSVAD34" localSheetId="10">#REF!</definedName>
    <definedName name="FAMERangeMGSVAD35" localSheetId="10">#REF!</definedName>
    <definedName name="FAMERangeMGSVAD36" localSheetId="10">#REF!</definedName>
    <definedName name="FAMERangeMGSVAD38" localSheetId="10">#REF!</definedName>
    <definedName name="FAMERangeMGSVAD5" localSheetId="10">#REF!</definedName>
    <definedName name="FAMERangeMGSVAD6" localSheetId="10">#REF!</definedName>
    <definedName name="FAMERangeMGSVAD7" localSheetId="10">#REF!</definedName>
    <definedName name="FAMERangeMGSVAD8" localSheetId="10">#REF!</definedName>
    <definedName name="FAMERangeMGSVAD9" localSheetId="10">#REF!</definedName>
    <definedName name="fjsldkfjsdljflsdkjf" localSheetId="10">#REF!</definedName>
    <definedName name="hhhh" localSheetId="10">#REF!</definedName>
    <definedName name="kkkk" localSheetId="10">#REF!</definedName>
    <definedName name="Print_Area_MI" localSheetId="10">#REF!</definedName>
    <definedName name="qqqqqqqqqqqqqqqqqqqqqqq" localSheetId="10">#REF!</definedName>
    <definedName name="sheng" localSheetId="10">#REF!</definedName>
    <definedName name="summary" localSheetId="10">#REF!</definedName>
    <definedName name="UniqueRange_37" localSheetId="10">#REF!</definedName>
    <definedName name="UniqueRange_38" localSheetId="10">#REF!</definedName>
    <definedName name="UniqueRange_39" localSheetId="10">#REF!</definedName>
    <definedName name="UniqueRange_40" localSheetId="10">#REF!</definedName>
    <definedName name="UniqueRange_41" localSheetId="10">#REF!</definedName>
    <definedName name="UniqueRange_42" localSheetId="10">#REF!</definedName>
    <definedName name="UniqueRange_43" localSheetId="10">#REF!</definedName>
    <definedName name="UniqueRange_44" localSheetId="10">#REF!</definedName>
    <definedName name="UniqueRange_45" localSheetId="10">#REF!</definedName>
    <definedName name="UniqueRange_46" localSheetId="10">#REF!</definedName>
    <definedName name="UniqueRange_47" localSheetId="10">#REF!</definedName>
    <definedName name="北京市行政区划" localSheetId="10">#REF!</definedName>
    <definedName name="本年" localSheetId="10">'[36]1-4余额表'!$L$3</definedName>
    <definedName name="财政供养" localSheetId="10">#REF!</definedName>
    <definedName name="处室" localSheetId="10">#REF!</definedName>
    <definedName name="当年" localSheetId="10">'[37]1-1余额表'!$L$1</definedName>
    <definedName name="地区" localSheetId="10">OFFSET('[37]1-1余额表'!$A$7,,,COUNTA('[37]1-1余额表'!$A:$A)-1)</definedName>
    <definedName name="地区名称" localSheetId="10">'[38]01北京市'!#REF!</definedName>
    <definedName name="还有" localSheetId="10">#REF!</definedName>
    <definedName name="汇率" localSheetId="10">#REF!</definedName>
    <definedName name="基金处室" localSheetId="10">#REF!</definedName>
    <definedName name="基金金额" localSheetId="10">#REF!</definedName>
    <definedName name="基金科目" localSheetId="10">#REF!</definedName>
    <definedName name="基金类型" localSheetId="10">#REF!</definedName>
    <definedName name="金额" localSheetId="10">#REF!</definedName>
    <definedName name="科目" localSheetId="10">#REF!</definedName>
    <definedName name="类型" localSheetId="10">#REF!</definedName>
    <definedName name="区划" localSheetId="10">#REF!</definedName>
    <definedName name="去年" localSheetId="10">'[36]1-4余额表'!$L$4</definedName>
    <definedName name="全部担保" localSheetId="10">OFFSET('[37]1-1余额表'!$G$7,,,COUNTA('[37]1-1余额表'!$G:$G)-1)</definedName>
    <definedName name="全部一般" localSheetId="10">OFFSET('[37]1-1余额表'!$E$7,,,COUNTA('[37]1-1余额表'!$E:$E)-1)</definedName>
    <definedName name="全部余额" localSheetId="10">OFFSET('[37]1-1余额表'!$C$7,,,COUNTA('[37]1-1余额表'!$C:$C)-1)</definedName>
    <definedName name="全部直接" localSheetId="10">OFFSET('[37]1-1余额表'!$D$7,,,COUNTA('[37]1-1余额表'!$D:$D)-1)</definedName>
    <definedName name="全部专项" localSheetId="10">OFFSET('[37]1-1余额表'!$F$7,,,COUNTA('[37]1-1余额表'!$F:$F)-1)</definedName>
    <definedName name="上年" localSheetId="10">'[36]1-4余额表'!$L$2</definedName>
    <definedName name="生产列1" localSheetId="10">#REF!</definedName>
    <definedName name="生产列11" localSheetId="10">#REF!</definedName>
    <definedName name="生产列15" localSheetId="10">#REF!</definedName>
    <definedName name="生产列16" localSheetId="10">#REF!</definedName>
    <definedName name="生产列17" localSheetId="10">#REF!</definedName>
    <definedName name="生产列19" localSheetId="10">#REF!</definedName>
    <definedName name="生产列2" localSheetId="10">#REF!</definedName>
    <definedName name="生产列20" localSheetId="10">#REF!</definedName>
    <definedName name="生产列3" localSheetId="10">#REF!</definedName>
    <definedName name="生产列4" localSheetId="10">#REF!</definedName>
    <definedName name="生产列5" localSheetId="10">#REF!</definedName>
    <definedName name="生产列6" localSheetId="10">#REF!</definedName>
    <definedName name="生产列7" localSheetId="10">#REF!</definedName>
    <definedName name="生产列8" localSheetId="10">#REF!</definedName>
    <definedName name="生产列9" localSheetId="10">#REF!</definedName>
    <definedName name="生产期" localSheetId="10">#REF!</definedName>
    <definedName name="生产期1" localSheetId="10">#REF!</definedName>
    <definedName name="生产期11" localSheetId="10">#REF!</definedName>
    <definedName name="生产期123" localSheetId="10">#REF!</definedName>
    <definedName name="生产期15" localSheetId="10">#REF!</definedName>
    <definedName name="生产期16" localSheetId="10">#REF!</definedName>
    <definedName name="生产期17" localSheetId="10">#REF!</definedName>
    <definedName name="生产期18" localSheetId="10">#REF!</definedName>
    <definedName name="生产期19" localSheetId="10">#REF!</definedName>
    <definedName name="生产期2" localSheetId="10">#REF!</definedName>
    <definedName name="生产期20" localSheetId="10">#REF!</definedName>
    <definedName name="生产期3" localSheetId="10">#REF!</definedName>
    <definedName name="生产期4" localSheetId="10">#REF!</definedName>
    <definedName name="生产期5" localSheetId="10">#REF!</definedName>
    <definedName name="生产期6" localSheetId="10">#REF!</definedName>
    <definedName name="生产期7" localSheetId="10">#REF!</definedName>
    <definedName name="生产期8" localSheetId="10">#REF!</definedName>
    <definedName name="生产期9" localSheetId="10">#REF!</definedName>
    <definedName name="省级担保" localSheetId="10">OFFSET('[37]2-11担保分级表'!$C$6,,,COUNTA('[37]2-11担保分级表'!$C:$C)-1)</definedName>
    <definedName name="省级一般" localSheetId="10">OFFSET('[37]2-7一般分级表'!$C$6,,,COUNTA('[37]2-7一般分级表'!$C:$C)-1)</definedName>
    <definedName name="省级余额" localSheetId="10">OFFSET('[37]2-1余额分级表'!$C$6,,,COUNTA('[37]2-1余额分级表'!$C:$C)-1)</definedName>
    <definedName name="省级直接" localSheetId="10">OFFSET('[37]2-5直接分级表'!$C$6,,,COUNTA('[37]2-5直接分级表'!$C:$C)-1)</definedName>
    <definedName name="省级专项" localSheetId="10">OFFSET('[37]2-9专项分级表'!$C$6,,,COUNTA('[37]2-9专项分级表'!$C:$C)-1)</definedName>
    <definedName name="市级担保" localSheetId="10">OFFSET('[37]2-11担保分级表'!$E$6,,,COUNTA('[37]2-11担保分级表'!$E:$E)-1)</definedName>
    <definedName name="市级一般" localSheetId="10">OFFSET('[37]2-7一般分级表'!$E$6,,,COUNTA('[37]2-7一般分级表'!$E:$E)-1)</definedName>
    <definedName name="市级余额" localSheetId="10">OFFSET('[37]2-1余额分级表'!$E$6,,,COUNTA('[37]2-1余额分级表'!$E:$E)-1)</definedName>
    <definedName name="市级直接" localSheetId="10">OFFSET('[37]2-5直接分级表'!$E$6,,,COUNTA('[37]2-5直接分级表'!$E:$E)-1)</definedName>
    <definedName name="市级专项" localSheetId="10">OFFSET('[37]2-9专项分级表'!$E$6,,,COUNTA('[37]2-9专项分级表'!$E:$E)-1)</definedName>
    <definedName name="县级担保" localSheetId="10">OFFSET('[37]2-11担保分级表'!$G$6,,,COUNTA('[37]2-11担保分级表'!$G:$G)-1)</definedName>
    <definedName name="县级一般" localSheetId="10">OFFSET('[37]2-7一般分级表'!$G$6,,,COUNTA('[37]2-7一般分级表'!$G:$G)-1)</definedName>
    <definedName name="县级余额" localSheetId="10">OFFSET('[37]2-1余额分级表'!$G$6,,,COUNTA('[37]2-1余额分级表'!$G:$G)-1)</definedName>
    <definedName name="县级直接" localSheetId="10">OFFSET('[37]2-5直接分级表'!$G$6,,,COUNTA('[37]2-5直接分级表'!$G:$G)-1)</definedName>
    <definedName name="县级专项" localSheetId="10">OFFSET('[37]2-9专项分级表'!$G$6,,,COUNTA('[37]2-9专项分级表'!$G:$G)-1)</definedName>
    <definedName name="乡级担保" localSheetId="10">OFFSET('[37]2-11担保分级表'!$I$6,,,COUNTA('[37]2-11担保分级表'!$I:$I)-1)</definedName>
    <definedName name="乡级一般" localSheetId="10">OFFSET('[37]2-7一般分级表'!$I$6,,,COUNTA('[37]2-7一般分级表'!$I:$I)-1)</definedName>
    <definedName name="乡级余额" localSheetId="10">OFFSET('[37]2-1余额分级表'!$I$6,,,COUNTA('[37]2-1余额分级表'!$I:$I)-1)</definedName>
    <definedName name="乡级直接" localSheetId="10">OFFSET('[37]2-5直接分级表'!$I$6,,,COUNTA('[37]2-5直接分级表'!$I:$I)-1)</definedName>
    <definedName name="乡级专项" localSheetId="10">OFFSET('[37]2-9专项分级表'!$I$6,,,COUNTA('[37]2-9专项分级表'!$I:$I)-1)</definedName>
    <definedName name="项目类型" localSheetId="10">[39]基础数据!$A$1:$A$66</definedName>
    <definedName name="银行类型二" localSheetId="10">[39]基础数据!$E$1:$E$216</definedName>
    <definedName name="银行类型一" localSheetId="10">[39]基础数据!$C$1:$C$21</definedName>
    <definedName name="政策性挂账" localSheetId="10">OFFSET('[37]1-1余额表'!$H$7,,,COUNTA('[37]1-1余额表'!$H:$H)-1)</definedName>
    <definedName name="전" localSheetId="10">#REF!</definedName>
    <definedName name="주택사업본부" localSheetId="10">#REF!</definedName>
    <definedName name="철구사업본부" localSheetId="10">#REF!</definedName>
    <definedName name="_xlnm.Print_Titles" localSheetId="10">'（附表10）国有资本经营支出表'!$1:$5</definedName>
    <definedName name="_xlnm._FilterDatabase" localSheetId="7" hidden="1">'（附表7）2021年基金支出科目'!$A$5:$AN$76</definedName>
    <definedName name="_xlnm.Print_Titles" localSheetId="8">'（附表8）政府性基金预算支出项目调整'!$1:$4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G5" authorId="0">
      <text>
        <r>
          <rPr>
            <b/>
            <sz val="9"/>
            <rFont val="宋体"/>
            <charset val="134"/>
          </rPr>
          <t>作者:</t>
        </r>
        <r>
          <rPr>
            <sz val="9"/>
            <rFont val="宋体"/>
            <charset val="134"/>
          </rPr>
          <t xml:space="preserve">
调资增资和公用拨款标准变动\原计划数与实际有出入\非税收入变动\</t>
        </r>
      </text>
    </comment>
    <comment ref="H5" authorId="0">
      <text>
        <r>
          <rPr>
            <b/>
            <sz val="9"/>
            <rFont val="宋体"/>
            <charset val="134"/>
          </rPr>
          <t>作者:</t>
        </r>
        <r>
          <rPr>
            <sz val="9"/>
            <rFont val="宋体"/>
            <charset val="134"/>
          </rPr>
          <t xml:space="preserve">
区政府或区领导批增/批复增加</t>
        </r>
      </text>
    </comment>
    <comment ref="I5" authorId="0">
      <text>
        <r>
          <rPr>
            <b/>
            <sz val="9"/>
            <rFont val="宋体"/>
            <charset val="134"/>
          </rPr>
          <t>作者:</t>
        </r>
        <r>
          <rPr>
            <sz val="9"/>
            <rFont val="宋体"/>
            <charset val="134"/>
          </rPr>
          <t xml:space="preserve">
含包括使用上级资金后调减，具体项目须另加批注</t>
        </r>
      </text>
    </comment>
  </commentList>
</comments>
</file>

<file path=xl/sharedStrings.xml><?xml version="1.0" encoding="utf-8"?>
<sst xmlns="http://schemas.openxmlformats.org/spreadsheetml/2006/main" count="5131" uniqueCount="1961">
  <si>
    <t>汕头市濠江区2021年政府预算调整草案</t>
  </si>
  <si>
    <t>编制部门：汕头市濠江区财政局</t>
  </si>
  <si>
    <t>编制时间：2021年12月</t>
  </si>
  <si>
    <t>附表1</t>
  </si>
  <si>
    <t>汕头市濠江区2021年公共财政预算收入计划调整表</t>
  </si>
  <si>
    <t>单位：万元</t>
  </si>
  <si>
    <t>科目</t>
  </si>
  <si>
    <t>第二次预算调整数</t>
  </si>
  <si>
    <t>变动因素</t>
  </si>
  <si>
    <t>调整后计划数</t>
  </si>
  <si>
    <t>比增%</t>
  </si>
  <si>
    <t>备注</t>
  </si>
  <si>
    <t>总库</t>
  </si>
  <si>
    <t>本级</t>
  </si>
  <si>
    <t>一、税收收入</t>
  </si>
  <si>
    <t xml:space="preserve">   1.增值税</t>
  </si>
  <si>
    <t>市与区共享收入</t>
  </si>
  <si>
    <t xml:space="preserve">   2.消费税</t>
  </si>
  <si>
    <t xml:space="preserve">   3.车辆购置税</t>
  </si>
  <si>
    <t>市本级固定收入</t>
  </si>
  <si>
    <t xml:space="preserve">   4.企业所得税</t>
  </si>
  <si>
    <t xml:space="preserve">   5.个人所得税</t>
  </si>
  <si>
    <t xml:space="preserve">   6.资源税</t>
  </si>
  <si>
    <t>区级固定收入</t>
  </si>
  <si>
    <t xml:space="preserve">   7.城市维护建设税</t>
  </si>
  <si>
    <t xml:space="preserve">   8.房产税</t>
  </si>
  <si>
    <t xml:space="preserve">   9.印花税</t>
  </si>
  <si>
    <t xml:space="preserve">   10.城镇土地使用税</t>
  </si>
  <si>
    <t xml:space="preserve">   11.土地增值税</t>
  </si>
  <si>
    <t xml:space="preserve">   12.车船税</t>
  </si>
  <si>
    <t xml:space="preserve">   13.耕地占用税</t>
  </si>
  <si>
    <t xml:space="preserve">   14.契税</t>
  </si>
  <si>
    <t xml:space="preserve">   15.环境保护税</t>
  </si>
  <si>
    <t xml:space="preserve">   16.其他税收收入</t>
  </si>
  <si>
    <t>二、非税收入</t>
  </si>
  <si>
    <t xml:space="preserve">   1.教育费附加收入</t>
  </si>
  <si>
    <t xml:space="preserve">   2.地方教育费附加收入</t>
  </si>
  <si>
    <t xml:space="preserve">   3.农田水利建设</t>
  </si>
  <si>
    <t xml:space="preserve">   4.森林植被恢复费</t>
  </si>
  <si>
    <t xml:space="preserve">   5.捐赠收入</t>
  </si>
  <si>
    <t xml:space="preserve">   6.政府住房基金收入</t>
  </si>
  <si>
    <t xml:space="preserve">   7.行政事业性收费收入</t>
  </si>
  <si>
    <t xml:space="preserve">   8.罚没收入</t>
  </si>
  <si>
    <t xml:space="preserve">   9.国有资产经营收入</t>
  </si>
  <si>
    <t xml:space="preserve">   10.国有资源(资产)有偿使用收入</t>
  </si>
  <si>
    <t xml:space="preserve">   11.水土保持补偿费</t>
  </si>
  <si>
    <t xml:space="preserve">   12.防空地下室易地建设费</t>
  </si>
  <si>
    <t xml:space="preserve">   13.其他收入</t>
  </si>
  <si>
    <t>征收收入小计</t>
  </si>
  <si>
    <t xml:space="preserve">   其中：税务局</t>
  </si>
  <si>
    <t xml:space="preserve">         财政局</t>
  </si>
  <si>
    <t>三、转移性收入</t>
  </si>
  <si>
    <t xml:space="preserve">   1.上级财力性补助收入</t>
  </si>
  <si>
    <t xml:space="preserve">   2.上级专项性补助收入</t>
  </si>
  <si>
    <t xml:space="preserve">   3.上级债券转贷收入</t>
  </si>
  <si>
    <t xml:space="preserve">   4.再融资一般债券转贷收入</t>
  </si>
  <si>
    <t xml:space="preserve">   5.上年结余收入</t>
  </si>
  <si>
    <t xml:space="preserve">   6.预算稳定调节基金</t>
  </si>
  <si>
    <t xml:space="preserve">   7.调入资金</t>
  </si>
  <si>
    <t>财力合计</t>
  </si>
  <si>
    <t>附表2</t>
  </si>
  <si>
    <t>汕头市濠江区2021年公共财政预算支出计划调整表</t>
  </si>
  <si>
    <t>科目编码</t>
  </si>
  <si>
    <t>功能分类科目名称</t>
  </si>
  <si>
    <t>年初预算金额</t>
  </si>
  <si>
    <t>本级支出</t>
  </si>
  <si>
    <t>上级支出</t>
  </si>
  <si>
    <t>合计</t>
  </si>
  <si>
    <t>政策性调整</t>
  </si>
  <si>
    <t>其他调整</t>
  </si>
  <si>
    <t>预留、功能分类调整</t>
  </si>
  <si>
    <t>一般公共服务支出</t>
  </si>
  <si>
    <t>人大事务</t>
  </si>
  <si>
    <t>行政运行</t>
  </si>
  <si>
    <t>调剂人员经费</t>
  </si>
  <si>
    <t>人大会议</t>
  </si>
  <si>
    <t>人大监督</t>
  </si>
  <si>
    <t>人大代表履职能力提升</t>
  </si>
  <si>
    <t>代表工作</t>
  </si>
  <si>
    <t>其他人大事务支出</t>
  </si>
  <si>
    <t>政协事务</t>
  </si>
  <si>
    <t>政协会议</t>
  </si>
  <si>
    <t>委员视察</t>
  </si>
  <si>
    <t>其他政协事务支出</t>
  </si>
  <si>
    <t>政府办公厅（室）及相关机构事务</t>
  </si>
  <si>
    <t>其他政府办公厅（室）及相关机构事务支出</t>
  </si>
  <si>
    <t>调减政府大院零星修缮经费等</t>
  </si>
  <si>
    <t>发展与改革事务</t>
  </si>
  <si>
    <t>调剂预留基本经费</t>
  </si>
  <si>
    <t>一般行政管理事务</t>
  </si>
  <si>
    <t>战略规划与实施</t>
  </si>
  <si>
    <t>物价管理</t>
  </si>
  <si>
    <t>其他发展与改革事务支出</t>
  </si>
  <si>
    <t>调剂预留项目经费，经济发展目标工作经费补助、概算审查经费等项目结余调减</t>
  </si>
  <si>
    <t>统计信息事务</t>
  </si>
  <si>
    <t>专项普查活动</t>
  </si>
  <si>
    <t>统计抽样调查</t>
  </si>
  <si>
    <t>事业运行</t>
  </si>
  <si>
    <t>调增购买服务人员经费等</t>
  </si>
  <si>
    <t>其他统计信息事务支出</t>
  </si>
  <si>
    <t>财政事务</t>
  </si>
  <si>
    <t>调剂人员经费、公用经费等</t>
  </si>
  <si>
    <t>财政国库业务</t>
  </si>
  <si>
    <t>信息化建设</t>
  </si>
  <si>
    <t>调减数字财政工作经费</t>
  </si>
  <si>
    <t>财政委托业务支出</t>
  </si>
  <si>
    <t>调减财政委托业务支出经费</t>
  </si>
  <si>
    <t>其他财政事务支出</t>
  </si>
  <si>
    <t>税收事务</t>
  </si>
  <si>
    <t>调减征管经费</t>
  </si>
  <si>
    <t>审计事务</t>
  </si>
  <si>
    <t>审计业务</t>
  </si>
  <si>
    <t>人力资源事务</t>
  </si>
  <si>
    <t>2011104</t>
  </si>
  <si>
    <t>大案要案查处</t>
  </si>
  <si>
    <t>2011105</t>
  </si>
  <si>
    <t>派驻派出机构</t>
  </si>
  <si>
    <t>纪检监察事务</t>
  </si>
  <si>
    <t>其他纪检监察事务支出</t>
  </si>
  <si>
    <t>商贸事务</t>
  </si>
  <si>
    <t>调整功能科目</t>
  </si>
  <si>
    <t>招商引资</t>
  </si>
  <si>
    <t>招商引资工作经费项目结余调减</t>
  </si>
  <si>
    <t>其他商贸事务支出</t>
  </si>
  <si>
    <t>知识产权事务</t>
  </si>
  <si>
    <t>其他知识产权事务支出</t>
  </si>
  <si>
    <t>港澳台事务</t>
  </si>
  <si>
    <t>台湾事务</t>
  </si>
  <si>
    <t>档案事务</t>
  </si>
  <si>
    <t>档案馆</t>
  </si>
  <si>
    <t>民主党派及工商联事务</t>
  </si>
  <si>
    <t>其他民主党派及工商联事务支出</t>
  </si>
  <si>
    <t>群众团体事务</t>
  </si>
  <si>
    <t>工会事务</t>
  </si>
  <si>
    <t>其他群众团体事务支出</t>
  </si>
  <si>
    <t>组织事务</t>
  </si>
  <si>
    <t>其他组织事务支出</t>
  </si>
  <si>
    <t>宣传事务</t>
  </si>
  <si>
    <t>其他宣传事务支出</t>
  </si>
  <si>
    <t>统战事务</t>
  </si>
  <si>
    <t>宗教事务</t>
  </si>
  <si>
    <t>华侨事务</t>
  </si>
  <si>
    <t>其他统战事务支出</t>
  </si>
  <si>
    <t>其他共产党事务支出</t>
  </si>
  <si>
    <t>2013650</t>
  </si>
  <si>
    <t>市场监督管理事务</t>
  </si>
  <si>
    <t>市场主体管理</t>
  </si>
  <si>
    <t>市场秩序执法</t>
  </si>
  <si>
    <t>打击传销、变相传销及扫黑除恶专项经费结余调减</t>
  </si>
  <si>
    <t>质量基础</t>
  </si>
  <si>
    <t>食品安全监管</t>
  </si>
  <si>
    <t>调剂预留项目经费</t>
  </si>
  <si>
    <t>2013850</t>
  </si>
  <si>
    <t>其他市场监督管理事务</t>
  </si>
  <si>
    <t>项目结余调减，调整功能科目</t>
  </si>
  <si>
    <t>其他一般公共服务支出</t>
  </si>
  <si>
    <t>调减礐石街道涝区整治工程一期项目经费、产业发展优惠政策奖励经费等</t>
  </si>
  <si>
    <t>国防支出</t>
  </si>
  <si>
    <t>国防动员</t>
  </si>
  <si>
    <t>兵役征集</t>
  </si>
  <si>
    <t>人民防空</t>
  </si>
  <si>
    <t>预备役部队</t>
  </si>
  <si>
    <t>民兵</t>
  </si>
  <si>
    <t>其他国防支出</t>
  </si>
  <si>
    <t>2039999</t>
  </si>
  <si>
    <t>公共安全支出</t>
  </si>
  <si>
    <t>公安</t>
  </si>
  <si>
    <t>其他公安支出</t>
  </si>
  <si>
    <t>检察</t>
  </si>
  <si>
    <t>其他检察支出</t>
  </si>
  <si>
    <t>调增聘用制人员包干补助经费</t>
  </si>
  <si>
    <t>法院</t>
  </si>
  <si>
    <t>其他法院支出</t>
  </si>
  <si>
    <t>司法</t>
  </si>
  <si>
    <t>基层司法业务</t>
  </si>
  <si>
    <t>普法宣传</t>
  </si>
  <si>
    <t>律师公证管理</t>
  </si>
  <si>
    <t>法律援助</t>
  </si>
  <si>
    <t>社区矫正</t>
  </si>
  <si>
    <t>其他司法支出</t>
  </si>
  <si>
    <t>其他公共安全支出</t>
  </si>
  <si>
    <t>教育支出</t>
  </si>
  <si>
    <t>教育管理事务</t>
  </si>
  <si>
    <t>其他教育管理事务支出</t>
  </si>
  <si>
    <t>调减教育局办公楼外墙维修及屋顶补漏经费</t>
  </si>
  <si>
    <t>普通教育</t>
  </si>
  <si>
    <t>学前教育</t>
  </si>
  <si>
    <t>调剂人员经费、公用经费等、调减濠江花园南区幼儿园园舍及配套设施建设经费</t>
  </si>
  <si>
    <t>小学教育</t>
  </si>
  <si>
    <t>调减华桥小学综合楼建设经费、河北小学教学用房及配套设施综合改建经费、埭头学校校舍综合改造工程等项目经费</t>
  </si>
  <si>
    <t>初中教育</t>
  </si>
  <si>
    <t>调减礐石中学扩建宿舍楼及配套设施经费、调剂人员经费等</t>
  </si>
  <si>
    <t>高中教育</t>
  </si>
  <si>
    <t>调减河浦中学教学楼前景观改造工程经费、调剂人员经费等</t>
  </si>
  <si>
    <t>社会组织管理</t>
  </si>
  <si>
    <t>调减街道基层社会组织联合会建设</t>
  </si>
  <si>
    <t>其他普通教育支出</t>
  </si>
  <si>
    <t>调减捐资助学非税支出、调剂人员经费等</t>
  </si>
  <si>
    <t>职业教育</t>
  </si>
  <si>
    <t>中等职业教育</t>
  </si>
  <si>
    <t>调减新建学生宿舍楼、综合实训楼配套建设、广澳中学综合实训楼和学生宿舍楼及配套设施等项目经费</t>
  </si>
  <si>
    <t>技校教育</t>
  </si>
  <si>
    <t>高等职业教育</t>
  </si>
  <si>
    <t>特殊教育</t>
  </si>
  <si>
    <t>特殊学校教育</t>
  </si>
  <si>
    <t>调剂公用经费</t>
  </si>
  <si>
    <t>其他特殊教育支出</t>
  </si>
  <si>
    <t>进修及培训</t>
  </si>
  <si>
    <t>教师进修</t>
  </si>
  <si>
    <t>培训支出</t>
  </si>
  <si>
    <t>教育费附加安排的支出</t>
  </si>
  <si>
    <t>其他教育费附加安排的支出</t>
  </si>
  <si>
    <t>调减预留2021年教育系统项目工程款、华附幼教部配套建设及设备购置经费等</t>
  </si>
  <si>
    <t>其他教育支出</t>
  </si>
  <si>
    <t>科学技术支出</t>
  </si>
  <si>
    <t>科学技术管理事务</t>
  </si>
  <si>
    <t>技术研究与开发支出</t>
  </si>
  <si>
    <t>其他技术研究与开发支出</t>
  </si>
  <si>
    <t>科学技术普及</t>
  </si>
  <si>
    <t>其他科学技术普及支出</t>
  </si>
  <si>
    <t>其他科学技术支出</t>
  </si>
  <si>
    <t>文化旅游体育与传媒支出</t>
  </si>
  <si>
    <t>文化和旅游</t>
  </si>
  <si>
    <t>图书馆</t>
  </si>
  <si>
    <t>群众文化</t>
  </si>
  <si>
    <t>文化和旅游市场管理</t>
  </si>
  <si>
    <t>旅游宣传</t>
  </si>
  <si>
    <t>其他文化和旅游支出</t>
  </si>
  <si>
    <t>文物</t>
  </si>
  <si>
    <t>文物保护</t>
  </si>
  <si>
    <t>博物馆</t>
  </si>
  <si>
    <t>体育</t>
  </si>
  <si>
    <t>群众体育</t>
  </si>
  <si>
    <t>其他文化旅游体育与传媒支出</t>
  </si>
  <si>
    <t>社会保障和就业支出</t>
  </si>
  <si>
    <t>人力资源和社会保障管理事务</t>
  </si>
  <si>
    <t>调减人员经费等</t>
  </si>
  <si>
    <t>调减事业单位培训与考核经费等</t>
  </si>
  <si>
    <t>公共就业服务和职业技能鉴定机构</t>
  </si>
  <si>
    <t>调减人力资源市场运行经费等</t>
  </si>
  <si>
    <t>其他人力资源和社会保障管理事务支出</t>
  </si>
  <si>
    <t>调减人力资源和社会保障工作补充经费等</t>
  </si>
  <si>
    <t>民政管理事务</t>
  </si>
  <si>
    <t>调减街道基层社会组织联合会建设经费等</t>
  </si>
  <si>
    <t>行政区划和地名管理</t>
  </si>
  <si>
    <t>调减地名普查档案整理归档工作经费等</t>
  </si>
  <si>
    <t>基层政权建设和社区治理</t>
  </si>
  <si>
    <t>调减居务监督委员会成员补贴等</t>
  </si>
  <si>
    <t>其他民政管理事务支出</t>
  </si>
  <si>
    <t>行政事业单位养老支出</t>
  </si>
  <si>
    <t>行政单位离退休</t>
  </si>
  <si>
    <t>调剂预留基本经费、人员经费等</t>
  </si>
  <si>
    <t>事业单位离退休</t>
  </si>
  <si>
    <t>离退休人员管理机构</t>
  </si>
  <si>
    <t>机关事业单位基本养老保险缴费支出</t>
  </si>
  <si>
    <t>机关事业单位职业年金缴费支出</t>
  </si>
  <si>
    <t>调剂预留基本经费、调减职业年金等</t>
  </si>
  <si>
    <t>对机关事业单位基本养老保险基金的补助</t>
  </si>
  <si>
    <t>就业补助</t>
  </si>
  <si>
    <t>就业创业服务补贴</t>
  </si>
  <si>
    <t>其他就业补助支出</t>
  </si>
  <si>
    <t>调减新冠肺炎疫情支持企业专项资金</t>
  </si>
  <si>
    <t>抚恤</t>
  </si>
  <si>
    <t>死亡抚恤</t>
  </si>
  <si>
    <t>在乡复员、退伍军人生活补助</t>
  </si>
  <si>
    <t>调减抚恤补助金</t>
  </si>
  <si>
    <t>义务兵优待</t>
  </si>
  <si>
    <t>调剂城乡义务兵优待金</t>
  </si>
  <si>
    <t>农村籍退役士兵老年生活补助</t>
  </si>
  <si>
    <t>退役安置</t>
  </si>
  <si>
    <t>退役士兵安置</t>
  </si>
  <si>
    <t>调减城乡退伍士兵安置补助金等</t>
  </si>
  <si>
    <t>军队移交政府离退休干部管理机构</t>
  </si>
  <si>
    <t>退役士兵管理教育</t>
  </si>
  <si>
    <t>军队转业干部安置</t>
  </si>
  <si>
    <t>调减自主择业军转干部医保单位缴费等</t>
  </si>
  <si>
    <t>其他退役安置支出</t>
  </si>
  <si>
    <t>调减部分退役士兵社会保险接续</t>
  </si>
  <si>
    <t>社会福利</t>
  </si>
  <si>
    <t>儿童福利</t>
  </si>
  <si>
    <t>老年福利</t>
  </si>
  <si>
    <t>调减高龄老人政府津贴等</t>
  </si>
  <si>
    <t>殡葬</t>
  </si>
  <si>
    <t>调减殡改年度工作补助经费等</t>
  </si>
  <si>
    <t>社会福利事业单位</t>
  </si>
  <si>
    <t>残疾人事业</t>
  </si>
  <si>
    <t>残疾人康复</t>
  </si>
  <si>
    <t>残疾人就业和扶贫</t>
  </si>
  <si>
    <t>残疾人生活和护理补贴</t>
  </si>
  <si>
    <t>调减困难残疾人生活补贴和重度残疾人护理补贴</t>
  </si>
  <si>
    <t>其他残疾人事业支出</t>
  </si>
  <si>
    <t>调减社区康园运行补助经费等</t>
  </si>
  <si>
    <t>红十字事业</t>
  </si>
  <si>
    <t>其他红十字事业支出</t>
  </si>
  <si>
    <t>最低生活保障</t>
  </si>
  <si>
    <t>城市最低生活保障金支出</t>
  </si>
  <si>
    <t>调减城市居民最低生活保障金</t>
  </si>
  <si>
    <t>农村最低生活保障金支出</t>
  </si>
  <si>
    <t>调减农村居民最低生活保障金</t>
  </si>
  <si>
    <t>临时救助</t>
  </si>
  <si>
    <t>临时救助支出</t>
  </si>
  <si>
    <t>调减临时救助资金</t>
  </si>
  <si>
    <t>流浪乞讨人员救助支出</t>
  </si>
  <si>
    <t>调减流浪乞讨人员救助及工作经费</t>
  </si>
  <si>
    <t>特困人员救助供养</t>
  </si>
  <si>
    <t>城市特困人员救助供养支出</t>
  </si>
  <si>
    <t>农村特困人员救助供养支出</t>
  </si>
  <si>
    <t>调减农村特困人员供养</t>
  </si>
  <si>
    <t>其他生活救助</t>
  </si>
  <si>
    <t>其他城市生活救助</t>
  </si>
  <si>
    <t>其他农村生活救助</t>
  </si>
  <si>
    <t>财政对基本养老保险基金的补助</t>
  </si>
  <si>
    <t>财政对城乡居民基本养老保险基金的补助</t>
  </si>
  <si>
    <t>调减城乡居民社会养老保险等</t>
  </si>
  <si>
    <t>财政对其他基本养老保险基金的补助</t>
  </si>
  <si>
    <t>退役军人管理事务</t>
  </si>
  <si>
    <t>拥军优属</t>
  </si>
  <si>
    <t>调减随军家属未就业生活补助等</t>
  </si>
  <si>
    <t>其他退役军人事务管理支出</t>
  </si>
  <si>
    <t>财政代缴社会保险费支出</t>
  </si>
  <si>
    <t>财政代缴城乡居民基本养老保险费支出</t>
  </si>
  <si>
    <t>其他社会保障和就业支出</t>
  </si>
  <si>
    <t>调减养老床位设置补助和护理老人运营资助等、调剂预留基本经费、人员经费等</t>
  </si>
  <si>
    <t>卫生健康支出</t>
  </si>
  <si>
    <t>卫生健康管理事务</t>
  </si>
  <si>
    <t>其他卫生健康管理事务支出</t>
  </si>
  <si>
    <t>调剂严重精神障碍患者排查经费</t>
  </si>
  <si>
    <t>公立医院</t>
  </si>
  <si>
    <t>综合医院</t>
  </si>
  <si>
    <t>妇幼保健医院</t>
  </si>
  <si>
    <t>其他公立医院支出</t>
  </si>
  <si>
    <t>基层医疗卫生机构</t>
  </si>
  <si>
    <t>城市社区卫生机构</t>
  </si>
  <si>
    <t>乡镇卫生院</t>
  </si>
  <si>
    <t>其他基层医疗卫生机构支出</t>
  </si>
  <si>
    <t>调减2018年县镇医联体建设补助资金等</t>
  </si>
  <si>
    <t>公共卫生</t>
  </si>
  <si>
    <t>疾病预防控制机构</t>
  </si>
  <si>
    <t>妇幼保健机构</t>
  </si>
  <si>
    <t>基本公共卫生服务</t>
  </si>
  <si>
    <t>调剂基本公共卫生服务区级资金等</t>
  </si>
  <si>
    <t>重大公共卫生服务</t>
  </si>
  <si>
    <t>调减病媒生物防治工作经费等</t>
  </si>
  <si>
    <t>突发公共卫生事件应急处理</t>
  </si>
  <si>
    <t>调减2021年新型冠状病毒感染的肺炎应急防控专项经费等</t>
  </si>
  <si>
    <t>其他公共卫生支出</t>
  </si>
  <si>
    <t>调剂严重精神障碍患者监护补助费用</t>
  </si>
  <si>
    <t>中医药</t>
  </si>
  <si>
    <t>其他中医药支出</t>
  </si>
  <si>
    <t>计划生育事务</t>
  </si>
  <si>
    <t>计划生育服务</t>
  </si>
  <si>
    <t>其他计划生育事务支出</t>
  </si>
  <si>
    <t>行政事业单位医疗</t>
  </si>
  <si>
    <t>2101102</t>
  </si>
  <si>
    <t>事业单位医疗</t>
  </si>
  <si>
    <t>其他行政事业单位医疗支出</t>
  </si>
  <si>
    <t>财政对基本医疗保险基金的补助</t>
  </si>
  <si>
    <t>财政对职工基本医疗保险基金的补助</t>
  </si>
  <si>
    <t>财政对城乡居民基本医疗保险基金的补助</t>
  </si>
  <si>
    <t>调剂人员经费等</t>
  </si>
  <si>
    <t>医疗救助</t>
  </si>
  <si>
    <t>城乡医疗救助</t>
  </si>
  <si>
    <t>优抚对象医疗</t>
  </si>
  <si>
    <t>优抚对象医疗补助</t>
  </si>
  <si>
    <t>医疗保障管理事务</t>
  </si>
  <si>
    <t>调减妇幼门诊信息化软件系统建设</t>
  </si>
  <si>
    <t>老龄卫生健康事务</t>
  </si>
  <si>
    <t>其他卫生健康支出</t>
  </si>
  <si>
    <t>调减预留工作性和政策性专项经费、社区医疗卫生服务站点规范化建设专项经费和工作经费等</t>
  </si>
  <si>
    <t>节能环保支出</t>
  </si>
  <si>
    <t>环境保护管理事务</t>
  </si>
  <si>
    <t>其他环境保护管理事务支出</t>
  </si>
  <si>
    <t>环境监测与监察</t>
  </si>
  <si>
    <t>其他环境监测与监察支出</t>
  </si>
  <si>
    <t>能源节约利用</t>
  </si>
  <si>
    <t>2110302</t>
  </si>
  <si>
    <t>城乡社区环境卫生</t>
  </si>
  <si>
    <t>固体废弃物与化学品</t>
  </si>
  <si>
    <t>其他节能环保支出</t>
  </si>
  <si>
    <t>2119999</t>
  </si>
  <si>
    <t>城乡社区支出</t>
  </si>
  <si>
    <t>城乡社区管理事务</t>
  </si>
  <si>
    <t>城管执法</t>
  </si>
  <si>
    <t>调减数字城管二期互联网租金等项目结余</t>
  </si>
  <si>
    <t>工程建设管理</t>
  </si>
  <si>
    <t>划转在职工资及预留晋升经费等</t>
  </si>
  <si>
    <t>其他城乡社区管理事务支出</t>
  </si>
  <si>
    <t>城乡社区规划与管理</t>
  </si>
  <si>
    <t>城乡社区公共设施</t>
  </si>
  <si>
    <t>其他城乡社区公共设施支出</t>
  </si>
  <si>
    <t>调剂预留基本经费、更新垃圾转运车辆和设备项目、玉新街道垃圾分类示范片区创建经费等结余调减</t>
  </si>
  <si>
    <t>其他城乡社区支出</t>
  </si>
  <si>
    <t>农林水支出</t>
  </si>
  <si>
    <t>农业农村</t>
  </si>
  <si>
    <t>科技转化与推广服务</t>
  </si>
  <si>
    <t>病虫害控制</t>
  </si>
  <si>
    <t>农产品质量安全</t>
  </si>
  <si>
    <t>执法监管</t>
  </si>
  <si>
    <t>农村社会事业</t>
  </si>
  <si>
    <t>农业资源保护修复与利用</t>
  </si>
  <si>
    <t>成品油价格改革对渔业对补助</t>
  </si>
  <si>
    <t>对高校毕业生到基层任职补助</t>
  </si>
  <si>
    <t>其他农业农村支出</t>
  </si>
  <si>
    <t>林业和草原</t>
  </si>
  <si>
    <t>森林生态效益补偿</t>
  </si>
  <si>
    <t>动植物保护</t>
  </si>
  <si>
    <t>其他林业和草原支出</t>
  </si>
  <si>
    <t>水利</t>
  </si>
  <si>
    <t>水利行业业务管理</t>
  </si>
  <si>
    <t>水利工程建设</t>
  </si>
  <si>
    <t>水利工程运行与维护</t>
  </si>
  <si>
    <t>水利前期工作</t>
  </si>
  <si>
    <t>水土保持</t>
  </si>
  <si>
    <t>水资源节约管理与保护</t>
  </si>
  <si>
    <t>防汛</t>
  </si>
  <si>
    <t>水利技术推广</t>
  </si>
  <si>
    <t>其他水利支出</t>
  </si>
  <si>
    <t>扶贫</t>
  </si>
  <si>
    <t>其他扶贫支出</t>
  </si>
  <si>
    <t>农村综合改革</t>
  </si>
  <si>
    <t>对村民委员会和村党支部的补助</t>
  </si>
  <si>
    <t>农村综合改革示范试点补助</t>
  </si>
  <si>
    <t>普惠金融发展支出</t>
  </si>
  <si>
    <t>农业保险保费补贴</t>
  </si>
  <si>
    <t>创业担保贷款贴息</t>
  </si>
  <si>
    <t>其他农林水支出</t>
  </si>
  <si>
    <t>交通运输支出</t>
  </si>
  <si>
    <t>公路水路运输</t>
  </si>
  <si>
    <t>公路建设</t>
  </si>
  <si>
    <t>其他公路水路运输支出</t>
  </si>
  <si>
    <t>车辆购置税支出</t>
  </si>
  <si>
    <t>车辆购置税用于公路等基础设施建设支出</t>
  </si>
  <si>
    <t>资源勘探工业信息等支出</t>
  </si>
  <si>
    <t>工业和信息产业监管</t>
  </si>
  <si>
    <t>2150517</t>
  </si>
  <si>
    <t>产业发展</t>
  </si>
  <si>
    <t>其他工业和信息产业监管支出</t>
  </si>
  <si>
    <t>支持中小企业发展和管理支出</t>
  </si>
  <si>
    <t>中小企业发展专项</t>
  </si>
  <si>
    <t>商业服务业等支出</t>
  </si>
  <si>
    <t>商业流通事务</t>
  </si>
  <si>
    <t>其他商业流通事务支出</t>
  </si>
  <si>
    <t>涉外发展服务支出</t>
  </si>
  <si>
    <t>其他涉外发展服务支出</t>
  </si>
  <si>
    <t>其他商业服务业等支出</t>
  </si>
  <si>
    <t>金融支出</t>
  </si>
  <si>
    <t>其他金融支出</t>
  </si>
  <si>
    <t>其他金融发展支出</t>
  </si>
  <si>
    <t>调减金融发展支出</t>
  </si>
  <si>
    <t>自然资源海洋气象等支出</t>
  </si>
  <si>
    <t>自然资源事务</t>
  </si>
  <si>
    <t>自然资源利用与保护</t>
  </si>
  <si>
    <t>自然资源调查与确权登记</t>
  </si>
  <si>
    <t>地质勘查与矿产资源管理</t>
  </si>
  <si>
    <t>调减濠江区滴丢山坤合采石场矿山复绿治理工程款</t>
  </si>
  <si>
    <t>海域与海岛管理</t>
  </si>
  <si>
    <t>其他自然资源事务支出</t>
  </si>
  <si>
    <t>其他自然资源海洋气象等支出</t>
  </si>
  <si>
    <t>调减鸡心屿及其周边海域管养、维护经费</t>
  </si>
  <si>
    <t>住房保障支出</t>
  </si>
  <si>
    <t>保障性安居工程支出</t>
  </si>
  <si>
    <t>公共租赁住房</t>
  </si>
  <si>
    <t>2210107</t>
  </si>
  <si>
    <t>保障性住房租金补贴</t>
  </si>
  <si>
    <t>调减发放保障对象住房租赁补贴</t>
  </si>
  <si>
    <t>老旧小区改造</t>
  </si>
  <si>
    <t>住房改革支出</t>
  </si>
  <si>
    <t>住房公积金</t>
  </si>
  <si>
    <t>调剂住房公积金</t>
  </si>
  <si>
    <t>粮油物资储备支出</t>
  </si>
  <si>
    <t>粮油事务</t>
  </si>
  <si>
    <t>粮食风险基金</t>
  </si>
  <si>
    <t>其他粮油事务支出</t>
  </si>
  <si>
    <t>重要商品储备</t>
  </si>
  <si>
    <t>肉类储备</t>
  </si>
  <si>
    <t>灾害防治及应急管理支出</t>
  </si>
  <si>
    <t>应急管理事务</t>
  </si>
  <si>
    <t>安全监管</t>
  </si>
  <si>
    <t>2240109</t>
  </si>
  <si>
    <t>应急管理</t>
  </si>
  <si>
    <t>其他应急管理支出</t>
  </si>
  <si>
    <t>消防事务</t>
  </si>
  <si>
    <t>其他消防事务支出</t>
  </si>
  <si>
    <t>地震事务</t>
  </si>
  <si>
    <t>其他地震事务支出</t>
  </si>
  <si>
    <t>自然灾害防治</t>
  </si>
  <si>
    <t>地质灾害防治</t>
  </si>
  <si>
    <t>预备费</t>
  </si>
  <si>
    <t>其他支出</t>
  </si>
  <si>
    <t>转移性支出</t>
  </si>
  <si>
    <t>上解支出</t>
  </si>
  <si>
    <t>专项上解支出</t>
  </si>
  <si>
    <t>根据汕市财预〔2021〕161号文调增小公园开埠区保护和改造资金、根据汕市财行〔2021〕82号文上划2021年治安联防队员经费</t>
  </si>
  <si>
    <t>债务还本支出</t>
  </si>
  <si>
    <t>地方政府一般债务还本支出</t>
  </si>
  <si>
    <t>地方政府一般债券还本支出</t>
  </si>
  <si>
    <t>债务付息支出</t>
  </si>
  <si>
    <t>地方政府一般债务付息支出</t>
  </si>
  <si>
    <t>地方政府一般债券付息支出</t>
  </si>
  <si>
    <t>债务发行费用支出</t>
  </si>
  <si>
    <t>地方政府一般债务发行费用支出</t>
  </si>
  <si>
    <t>附表3</t>
  </si>
  <si>
    <t>汕头市濠江区2021年一般公共预算支出项目调整情况表</t>
  </si>
  <si>
    <t>序号</t>
  </si>
  <si>
    <t>股室</t>
  </si>
  <si>
    <t>单位</t>
  </si>
  <si>
    <t>项目名称</t>
  </si>
  <si>
    <t>第二次
预算调整数</t>
  </si>
  <si>
    <t>财政建议数</t>
  </si>
  <si>
    <t>2022年需要使用存量资金安排</t>
  </si>
  <si>
    <t>基础表序号</t>
  </si>
  <si>
    <t>拟使用存量安排</t>
  </si>
  <si>
    <t>基本支出</t>
  </si>
  <si>
    <t>一般债券还本支出</t>
  </si>
  <si>
    <t>未调整项目支出小计</t>
  </si>
  <si>
    <t>调整项目支出小计</t>
  </si>
  <si>
    <t>预算股</t>
  </si>
  <si>
    <t>各街道</t>
  </si>
  <si>
    <t>综治维稳、安全生产经费</t>
  </si>
  <si>
    <t>正常离任村干部生活补助</t>
  </si>
  <si>
    <t>镇域经济发展专项资金</t>
  </si>
  <si>
    <t>社保股</t>
  </si>
  <si>
    <t>严重精神障碍患者排查经费</t>
  </si>
  <si>
    <t>严重精神障碍患者监护补助费用</t>
  </si>
  <si>
    <t>病媒生物防治工作经费</t>
  </si>
  <si>
    <t>涉农社区办公经费</t>
  </si>
  <si>
    <t>社区一般工作人员工作补贴</t>
  </si>
  <si>
    <t>社区两委干部任期岗位年金</t>
  </si>
  <si>
    <t>社区“两委”干部公积金</t>
  </si>
  <si>
    <t>社区党组织书记绩效奖励经费</t>
  </si>
  <si>
    <t>社区党组织服务群众专项经费</t>
  </si>
  <si>
    <t>社区“两委”干部医疗保险</t>
  </si>
  <si>
    <t>社区“两委”干部退转人员补助经费</t>
  </si>
  <si>
    <t>社区“两委”干部离任补偿经费</t>
  </si>
  <si>
    <t>人大工委工作经费</t>
  </si>
  <si>
    <t>农村税费改革</t>
  </si>
  <si>
    <t>“两委”岗位补贴</t>
  </si>
  <si>
    <t>社区“两委”干部养老保险</t>
  </si>
  <si>
    <t>困难社区办公经费补助</t>
  </si>
  <si>
    <t>计生经费</t>
  </si>
  <si>
    <t>农财股</t>
  </si>
  <si>
    <t>礐石街道</t>
  </si>
  <si>
    <t>新农村公益设施建设补助资金</t>
  </si>
  <si>
    <t>达濠街道</t>
  </si>
  <si>
    <t>乡村振兴战略专项（新农村公益设施建设）市级资金</t>
  </si>
  <si>
    <t>万人墓维护经费</t>
  </si>
  <si>
    <t>退役军人服务组织专职人员经费</t>
  </si>
  <si>
    <t>马滘街道</t>
  </si>
  <si>
    <t>税收返还</t>
  </si>
  <si>
    <t>疏港大道两侧环境整治补充经费</t>
  </si>
  <si>
    <t>礐石山体亮化（二期）工程范围内森林防灭火设施建设经费</t>
  </si>
  <si>
    <t>礐石街道涝区整治工程一期项目</t>
  </si>
  <si>
    <t>牛担湾体育场市政设施管理补助经费</t>
  </si>
  <si>
    <t>老渔工生活困难补助</t>
  </si>
  <si>
    <t>老村闲置空地改造项目</t>
  </si>
  <si>
    <t>河浦街道</t>
  </si>
  <si>
    <t>恒大金碧江湾片区管理工作经费</t>
  </si>
  <si>
    <t>河浦街道水环境综合治理工程</t>
  </si>
  <si>
    <t>濠江区渔港码头片区雨污分流改造项目</t>
  </si>
  <si>
    <t>玉新街道</t>
  </si>
  <si>
    <t>濠江区大坪排洪沟河浦高级中学段改建工程项目</t>
  </si>
  <si>
    <t>达濠古城日常管理和维护经费</t>
  </si>
  <si>
    <t>殡改专项经费</t>
  </si>
  <si>
    <t>行财股</t>
  </si>
  <si>
    <t>团区委</t>
  </si>
  <si>
    <t>全区各街道共青团工作经费</t>
  </si>
  <si>
    <t>未成年人心理健康辅导站工作经费</t>
  </si>
  <si>
    <t>社保基金局</t>
  </si>
  <si>
    <t>预留机关养老</t>
  </si>
  <si>
    <t>企业离休干部生活补贴和建国前参加革命属工人编制的退休老同志生活补贴</t>
  </si>
  <si>
    <t>区总工会</t>
  </si>
  <si>
    <t>全区工会经费</t>
  </si>
  <si>
    <t>综合股</t>
  </si>
  <si>
    <t>区自然资源局</t>
  </si>
  <si>
    <t>春绿满濠江2021年义务植树项目</t>
  </si>
  <si>
    <t>春绿满濠江2019年植树项目</t>
  </si>
  <si>
    <t>濠江区滴丢山坤合采石场矿山复绿治理工程</t>
  </si>
  <si>
    <t>海域海岛综合管理经费</t>
  </si>
  <si>
    <t>围填海历史遗留问题生态保护修复项目</t>
  </si>
  <si>
    <t>生态评估和生态保护修复编制费用</t>
  </si>
  <si>
    <t>鸡心屿及其周边海域管养、维护经费</t>
  </si>
  <si>
    <t>地质灾害应急物资及隐患点防治</t>
  </si>
  <si>
    <t>汕头市濠江区合作构建地质灾害防治技术支撑</t>
  </si>
  <si>
    <t>青林居委青云岩景区公厕后山体地质灾害隐患点建设区级配套资金</t>
  </si>
  <si>
    <t>政策性森林保险区级财政保费补贴</t>
  </si>
  <si>
    <t>区住房城乡建设局</t>
  </si>
  <si>
    <t>2019年中央财政农财危房改造补助资金</t>
  </si>
  <si>
    <t>2021年农村公路养护区级配套</t>
  </si>
  <si>
    <t>深汕高速公路达濠—河浦段路灯安装工程</t>
  </si>
  <si>
    <t>人防知识教育进社区</t>
  </si>
  <si>
    <t>车辆经费</t>
  </si>
  <si>
    <t>委托检测区内在建工程项目起重机械检测专项经费</t>
  </si>
  <si>
    <t>区政协办公室</t>
  </si>
  <si>
    <t>政协机关及专委会经费</t>
  </si>
  <si>
    <t>参政议政</t>
  </si>
  <si>
    <t>区政协全会闭会期间活动经费</t>
  </si>
  <si>
    <t>委员人文关怀经费</t>
  </si>
  <si>
    <t>区政协五届一次全体会议经费</t>
  </si>
  <si>
    <t>国资股</t>
  </si>
  <si>
    <t>车辆购置经费</t>
  </si>
  <si>
    <t>区政数局</t>
  </si>
  <si>
    <t>中海信水电费及楼宇外物业费</t>
  </si>
  <si>
    <t>信息化建设运维及宣传</t>
  </si>
  <si>
    <t>图册印刷等经费</t>
  </si>
  <si>
    <t>光纤专项经费</t>
  </si>
  <si>
    <t>电子政务外网建设费用</t>
  </si>
  <si>
    <t>汕头政府在线（二期）相关配套项目经费</t>
  </si>
  <si>
    <t>电子政务项目第三方咨询机构初审费及专家评审费</t>
  </si>
  <si>
    <t>便民利企经费</t>
  </si>
  <si>
    <t>行政大厅运转经费</t>
  </si>
  <si>
    <t>行政服务大厅运转经费</t>
  </si>
  <si>
    <t>经建股</t>
  </si>
  <si>
    <t>区政府办公室</t>
  </si>
  <si>
    <t>政府大院零星修缮经费</t>
  </si>
  <si>
    <t>区政府大院1、4、5号楼新装玻璃隔断及3号楼天面增设隔热屋架等零星修缮项目</t>
  </si>
  <si>
    <t>区政府1号楼4、5、7楼会议室修缮</t>
  </si>
  <si>
    <t>调研督查工作经费</t>
  </si>
  <si>
    <t>国家安全工作经费</t>
  </si>
  <si>
    <t>保密工作经费</t>
  </si>
  <si>
    <t>《濠江年鉴》编纂出版经费</t>
  </si>
  <si>
    <t>网络维护费</t>
  </si>
  <si>
    <t>大型会议专项经费</t>
  </si>
  <si>
    <t>其他挂牌机构经费</t>
  </si>
  <si>
    <t>办公自动化OA系统运行费用</t>
  </si>
  <si>
    <t>办公设备维护费</t>
  </si>
  <si>
    <t>宣传工作经费</t>
  </si>
  <si>
    <t>机关事务管理经费</t>
  </si>
  <si>
    <t>培训经费</t>
  </si>
  <si>
    <t>工作经费补助</t>
  </si>
  <si>
    <t>全区政务公开工作经费</t>
  </si>
  <si>
    <t>招商引资和重点项目经费</t>
  </si>
  <si>
    <t>区委信息交换系统使用服务费</t>
  </si>
  <si>
    <t>“今日濠江”建设运维工作经费</t>
  </si>
  <si>
    <t>政府网站运维及安全管理工作经费</t>
  </si>
  <si>
    <t>预留全区领导干部出国经费</t>
  </si>
  <si>
    <t>区政府会场信息化系统服务经费</t>
  </si>
  <si>
    <t>电子政务内网联网改造项目</t>
  </si>
  <si>
    <t>濠江区信息化终端设备更新项目</t>
  </si>
  <si>
    <t>政府在线二期</t>
  </si>
  <si>
    <t>《濠江年鉴》编纂出版及修志人员聘用经费</t>
  </si>
  <si>
    <t>人民来访接待所基本安保建设补助经费</t>
  </si>
  <si>
    <t>濠江区“一江两岸”开发建设领导小组办公室工作经费</t>
  </si>
  <si>
    <t>档案数字化建设经费</t>
  </si>
  <si>
    <t>档案馆水电费</t>
  </si>
  <si>
    <t>区档案馆配套设施设备经费</t>
  </si>
  <si>
    <t>区档案馆建设后期配套设施费用</t>
  </si>
  <si>
    <t>党务公开工作经费</t>
  </si>
  <si>
    <t>全区党内法规工作经费</t>
  </si>
  <si>
    <t>2020年省委第七巡视组巡视濠江区联络工作经费</t>
  </si>
  <si>
    <t>信访局信访工作经费</t>
  </si>
  <si>
    <t>区第五次党代会筹备工作经费</t>
  </si>
  <si>
    <t>区委、区政府公务活动租赁车辆费用</t>
  </si>
  <si>
    <t>公务用车购置</t>
  </si>
  <si>
    <t>工贸股</t>
  </si>
  <si>
    <t>区应急管理局</t>
  </si>
  <si>
    <t>应急救援、安全生产、三防应急演练培训等经费</t>
  </si>
  <si>
    <t>清明森林防火专项经费</t>
  </si>
  <si>
    <t>区森林专业扑火专项工作购买服务经费</t>
  </si>
  <si>
    <t>安全生产技术及应急救援服务专业购买服务包干经费</t>
  </si>
  <si>
    <t>森林防火工作经费</t>
  </si>
  <si>
    <t>区医保局</t>
  </si>
  <si>
    <t>医保基金负担新冠病毒疫苗及接种费用补助-区级财政（城乡居民基本医疗保险）</t>
  </si>
  <si>
    <t>城乡居民基本医疗保险</t>
  </si>
  <si>
    <t>区消防救援大队</t>
  </si>
  <si>
    <t>政府专职消防队专项补充经费</t>
  </si>
  <si>
    <t>政府专职消防队专项补充经费（消防文员）</t>
  </si>
  <si>
    <t>政府专职消防人员经费</t>
  </si>
  <si>
    <t>消防员生活补助、执勤补助、高危补助</t>
  </si>
  <si>
    <t>消防器材装备购置经费</t>
  </si>
  <si>
    <t>区乡村振兴战略发展中心</t>
  </si>
  <si>
    <t>日常办公工作经费</t>
  </si>
  <si>
    <t>2019年涉农资金调剂-乡村振兴示范片立项前期费用</t>
  </si>
  <si>
    <t>区武装部</t>
  </si>
  <si>
    <t>兵役征集经费（含新兵役前教育培训经费）</t>
  </si>
  <si>
    <t>民兵事业费</t>
  </si>
  <si>
    <t>国防动员专项经费</t>
  </si>
  <si>
    <t>遗嘱困难补助</t>
  </si>
  <si>
    <t>民兵武器仓库管理费</t>
  </si>
  <si>
    <t>营房管理费</t>
  </si>
  <si>
    <t>区马耳角哨所</t>
  </si>
  <si>
    <t>马耳角哨所经费</t>
  </si>
  <si>
    <t>区文广旅体局</t>
  </si>
  <si>
    <t>旅游发展专项经费</t>
  </si>
  <si>
    <t>楹联之乡活动经费</t>
  </si>
  <si>
    <t>文化大区建设经费</t>
  </si>
  <si>
    <t>文物保护经费</t>
  </si>
  <si>
    <t>濠江区博物馆文物购置经费</t>
  </si>
  <si>
    <t>旅游业发展扶持基金</t>
  </si>
  <si>
    <t>非遗推广工作经费</t>
  </si>
  <si>
    <t>两馆一园物业管理费</t>
  </si>
  <si>
    <t>第五届达濠鱼丸美食节活动经费</t>
  </si>
  <si>
    <t>区文化馆达标升级包干补助经费</t>
  </si>
  <si>
    <t>2021年达濠鱼丸美食节工作经费</t>
  </si>
  <si>
    <t>旅游发展专项资金</t>
  </si>
  <si>
    <t>第四届达濠鱼丸美食节活动经费</t>
  </si>
  <si>
    <t>打造出版濠江《乡愁系列》经费</t>
  </si>
  <si>
    <t>2019年省财政补齐人均公共文化财政支出短板奖补资金（基础性补助和工作奖励资金）</t>
  </si>
  <si>
    <t>2019年文化繁荣发展专项资金（省文化和旅游厅负责部分，第三批）</t>
  </si>
  <si>
    <t>老年体协参加第十八届北京世界华人篮球赛活动经费</t>
  </si>
  <si>
    <t>创建全域旅游示范区专项包干经费</t>
  </si>
  <si>
    <t>区文联</t>
  </si>
  <si>
    <t>区卫生健康局</t>
  </si>
  <si>
    <t>区卫健局固定资产盘点评估费用</t>
  </si>
  <si>
    <t>农村已离岗接生员和赤脚医生生活困难补助</t>
  </si>
  <si>
    <t>全科医生考核补助资金</t>
  </si>
  <si>
    <t>城乡妇女两癌检查专项经费</t>
  </si>
  <si>
    <t>免费孕前优生健康检查专项经费</t>
  </si>
  <si>
    <t>基本公共卫生服务区级资金</t>
  </si>
  <si>
    <t>2021年新型冠状病毒感染的肺炎应急防控专项经费</t>
  </si>
  <si>
    <t>爱卫工作经费</t>
  </si>
  <si>
    <t>“银龄安康”行动60周岁以下老人保险费</t>
  </si>
  <si>
    <t>社区医疗卫生服务站点规范化建设专项经费和工作经费</t>
  </si>
  <si>
    <t>妇幼保健院门诊部设备购置款</t>
  </si>
  <si>
    <t>2018年县镇医联体建设补助资金 社（19）126号</t>
  </si>
  <si>
    <t>2019年县镇医联体建设补助资金 社（19）77号</t>
  </si>
  <si>
    <t>2020年汕头市预防接种和疫苗管理工作区级财政补助配套经费（疾病机构冷链设备建设和预防接种门诊标准化建设项目）</t>
  </si>
  <si>
    <t>2019年第二批基本公共卫生服务省级补助资金 社（19）110号</t>
  </si>
  <si>
    <t>2020年新型冠状病毒感染的肺炎应急防控专项经费</t>
  </si>
  <si>
    <t>省城镇独生子女父母计生奖励</t>
  </si>
  <si>
    <t>市农村计划生育节育奖</t>
  </si>
  <si>
    <t>计划生育家庭特别扶助</t>
  </si>
  <si>
    <t>省农村部分计划生育家庭奖励</t>
  </si>
  <si>
    <t>计生家庭商业保险</t>
  </si>
  <si>
    <t>计生家庭子女就学补助和保险</t>
  </si>
  <si>
    <t>计生家庭意外伤害保险</t>
  </si>
  <si>
    <t>计生工作经费</t>
  </si>
  <si>
    <t>处级干部体检经费</t>
  </si>
  <si>
    <t>离休干部医药费</t>
  </si>
  <si>
    <t>各社区卫生服务中心</t>
  </si>
  <si>
    <t>区妇幼中心</t>
  </si>
  <si>
    <t>妇幼保健（含老年妇幼）工作经费</t>
  </si>
  <si>
    <t>出生缺陷综合防控项目目标人群专项经费（含新生儿出生缺陷筛查个人部分）</t>
  </si>
  <si>
    <t>妇幼门诊信息化软件系统建设</t>
  </si>
  <si>
    <t>区委组织部</t>
  </si>
  <si>
    <t>社区“两委”班子分析研判及整顿转化成效奖励经费</t>
  </si>
  <si>
    <t>党内关爱专项经费</t>
  </si>
  <si>
    <t>党建办和党代表联络服务工作经费</t>
  </si>
  <si>
    <t>人才管理服务经费</t>
  </si>
  <si>
    <t>优秀拔尖人才津贴</t>
  </si>
  <si>
    <t>党代表视察调研等活动经费</t>
  </si>
  <si>
    <t>濠江区整顿软弱涣散基层党组织经费</t>
  </si>
  <si>
    <t>街道党校区级配套运行经费</t>
  </si>
  <si>
    <t>全区党员教育、党政群干部、两委干部、党务干部及入党积极分子等培训经费</t>
  </si>
  <si>
    <t>全区“两新”组织党建工作区级配套经费</t>
  </si>
  <si>
    <t>区干部档案维护管理费用</t>
  </si>
  <si>
    <t>2020年度市“两新”组织党建工作财政专项经费</t>
  </si>
  <si>
    <t>“大组工网”网络管理维护费</t>
  </si>
  <si>
    <t>市人才发展专项资金（支持濠江区大学生创业中心建设经费）</t>
  </si>
  <si>
    <t>2019年度市科技创新战略专项（市人才发展专项-人才驿站运营经费）</t>
  </si>
  <si>
    <t>濠江区事业单位2021年公开招聘硕士研究生第二批面试工作和赣州专场招聘会工作经费</t>
  </si>
  <si>
    <t>区离休干部及副处以上退休老党员、老干部庆祝建党100周年活动经费</t>
  </si>
  <si>
    <t>区委政法委</t>
  </si>
  <si>
    <t>综治中心中海信电费</t>
  </si>
  <si>
    <t>社会治理专职网格员经费</t>
  </si>
  <si>
    <t>综治信息化建设工作经费</t>
  </si>
  <si>
    <t>综治、综治中心及综治宣传工作经费</t>
  </si>
  <si>
    <t>维稳平安创建工作经费</t>
  </si>
  <si>
    <t>濠江区改善乡村人居环境综合建设项目（雪亮工程）维保服务经费</t>
  </si>
  <si>
    <t>区委宣传部</t>
  </si>
  <si>
    <t>中心组理论学习经费</t>
  </si>
  <si>
    <t>精神文明工作经费</t>
  </si>
  <si>
    <t>老放映员陈乙丰工作年限补助</t>
  </si>
  <si>
    <t>创文工作经费</t>
  </si>
  <si>
    <t>春节元宵期间活动经费</t>
  </si>
  <si>
    <t>宣传工作费用</t>
  </si>
  <si>
    <t>2020年市第二轮创文评比区配套奖励资金</t>
  </si>
  <si>
    <t>创文工作力量购买服务经费</t>
  </si>
  <si>
    <t>建党100周年有关宣传工作经费</t>
  </si>
  <si>
    <t>建党100周年专项经费</t>
  </si>
  <si>
    <t>区委统战部</t>
  </si>
  <si>
    <t>预留外宾接待费</t>
  </si>
  <si>
    <t>春节慰问困难归侨侨眷经费</t>
  </si>
  <si>
    <t>统战专项工作经费</t>
  </si>
  <si>
    <t>预留全区领导干部出境经费</t>
  </si>
  <si>
    <t>春节前宗教工作专项经费</t>
  </si>
  <si>
    <t>侨乡最美是濠江-濠江区做好新时代“侨”的文章系列活动启动仪式工作经费</t>
  </si>
  <si>
    <t>香港有关工作经费</t>
  </si>
  <si>
    <t>区委编办</t>
  </si>
  <si>
    <t>编办管理工作经费</t>
  </si>
  <si>
    <t>编办管理专项工作经费</t>
  </si>
  <si>
    <t>网上名称注册和年度维护费用</t>
  </si>
  <si>
    <t>区退役军人事务局</t>
  </si>
  <si>
    <t>抚恤补助金</t>
  </si>
  <si>
    <t>城乡义务兵优待金（含高原兵）及一次性大学生入伍奖励</t>
  </si>
  <si>
    <t>城乡退伍士兵安置补助金（含西藏兵）</t>
  </si>
  <si>
    <t>困难企业军转干部生活补助</t>
  </si>
  <si>
    <t>自主择业军转干部医保单位缴费</t>
  </si>
  <si>
    <t>部分退役士兵社会保险接续</t>
  </si>
  <si>
    <t>随军家属未就业生活补助</t>
  </si>
  <si>
    <t>政府安排工作退役士官待安置期间生活补助</t>
  </si>
  <si>
    <t>2021年“八一”一次性送温暖活动经费</t>
  </si>
  <si>
    <t>优抚对象医疗保障资金</t>
  </si>
  <si>
    <t>区图书馆</t>
  </si>
  <si>
    <t>2019年省文化繁荣发展专项资金（公共文化设施免费开放用途资金）</t>
  </si>
  <si>
    <t>区司法局</t>
  </si>
  <si>
    <t>区委区政府法律顾问服务费（党政办）</t>
  </si>
  <si>
    <t>区委区政府法律顾问服务费</t>
  </si>
  <si>
    <t>“以案定补”补助</t>
  </si>
  <si>
    <t>安置帮教、社区矫正经费</t>
  </si>
  <si>
    <t>一社区一法律顾问区级配套经费</t>
  </si>
  <si>
    <t>司法救助经费</t>
  </si>
  <si>
    <t>2019年中央政法纪检监察转移支付资金（第二批）</t>
  </si>
  <si>
    <t>社区矫正两级平台运行维护经费</t>
  </si>
  <si>
    <t>区信访局购买专项法律服务经费</t>
  </si>
  <si>
    <t>区税务局</t>
  </si>
  <si>
    <t>征管经费</t>
  </si>
  <si>
    <t>区市场监管局</t>
  </si>
  <si>
    <t>打击传销、变相传销及扫黑除恶专项经费</t>
  </si>
  <si>
    <t>明厨亮灶AI对接专项经费</t>
  </si>
  <si>
    <t>市场监督管理各类登记、检查、抽检、专用材料、执法办案、专项整治、标准化、办公楼维护等工作经费</t>
  </si>
  <si>
    <t>食品药品监管协管员补助经费</t>
  </si>
  <si>
    <t>综合行政执法制式服装和标志采购经费</t>
  </si>
  <si>
    <t>区审计局</t>
  </si>
  <si>
    <t>审计工作补助经费</t>
  </si>
  <si>
    <t>社区审计经费</t>
  </si>
  <si>
    <t>审计助理人员购买服务经费</t>
  </si>
  <si>
    <t>审计信息化建设</t>
  </si>
  <si>
    <t>区社会经济调查队</t>
  </si>
  <si>
    <t>增加购买服务人员经费</t>
  </si>
  <si>
    <t>区人社局</t>
  </si>
  <si>
    <t>职工、城乡居民养老工作经费</t>
  </si>
  <si>
    <t>监察和工伤办案经费</t>
  </si>
  <si>
    <t>事业单位培训与考核经费</t>
  </si>
  <si>
    <t>公共就业机构业务培训和服务经费</t>
  </si>
  <si>
    <t>公共就业机构就业服务经费</t>
  </si>
  <si>
    <t>人力资源库管理经费</t>
  </si>
  <si>
    <t>大学生人事代管和档案寄管业务经费</t>
  </si>
  <si>
    <t>人力资源市场建设与信息经费</t>
  </si>
  <si>
    <t>就业创业政策性补贴</t>
  </si>
  <si>
    <t>新冠肺炎疫情支持企业专项资金</t>
  </si>
  <si>
    <t>城乡居民社会养老保险</t>
  </si>
  <si>
    <t>国企特困职工生活补助</t>
  </si>
  <si>
    <t>中海信实训基地和博士博士后基地日常运转经费</t>
  </si>
  <si>
    <t>社保扩面征缴工作经费</t>
  </si>
  <si>
    <t>春节、重阳节的节日慰问、特困退休人员的探望慰问费用</t>
  </si>
  <si>
    <t>人力资源和社会保障工作补充经费</t>
  </si>
  <si>
    <t>区人力资源市场</t>
  </si>
  <si>
    <t>人力资源市场运行经费</t>
  </si>
  <si>
    <t>区人力资源培训中心</t>
  </si>
  <si>
    <t>培训中心运行经费</t>
  </si>
  <si>
    <t>区人大办</t>
  </si>
  <si>
    <t>市十四届人大七次会议</t>
  </si>
  <si>
    <t>市十五届人大一次会议</t>
  </si>
  <si>
    <t>监督经费</t>
  </si>
  <si>
    <t>代表培训</t>
  </si>
  <si>
    <t>代表履职补贴</t>
  </si>
  <si>
    <t>街道人大工作经费</t>
  </si>
  <si>
    <t>交流联络经费</t>
  </si>
  <si>
    <t>区农业农村水务局</t>
  </si>
  <si>
    <t>政策性农村住房保险区级配套资金</t>
  </si>
  <si>
    <t>突发重大动物疫情应急储备金</t>
  </si>
  <si>
    <t>100吨渔政执法船船员经费</t>
  </si>
  <si>
    <t>渔业执法船、执法艇油料及维护保障经费</t>
  </si>
  <si>
    <t>农村集体产权制度改革工作经费</t>
  </si>
  <si>
    <t>新型粮食种植经营主体专项资金</t>
  </si>
  <si>
    <t>汕头市离岗基层老兽医补助资金</t>
  </si>
  <si>
    <t>2019年涉农资金调剂-濠江区农村集体资产资源交易平台委托进行信息系统安全等级保护服务项目</t>
  </si>
  <si>
    <t>2019年涉农资金调剂-土地流转奖补经费</t>
  </si>
  <si>
    <t>2019年涉农资金调剂-建立关怀关爱贫困户机制（委托社会机构开展建档立卡对象心理疏导工作）</t>
  </si>
  <si>
    <t>2019年涉农资金调剂-乡村振兴宣传工作</t>
  </si>
  <si>
    <t>2019年涉农资金调剂-濠江区农村集体产权制度改革工作</t>
  </si>
  <si>
    <t>2019年涉农资金调剂-升级完善濠江区农村集体资产资源交易平台建设项目</t>
  </si>
  <si>
    <t>2019年涉农资金调剂-扶贫产业项目第三方评估经费补助</t>
  </si>
  <si>
    <t>2019年涉农资金调剂-濠江区农村土地承包经营权确权登记颁证工作档案数字化服务项目</t>
  </si>
  <si>
    <t>农村集体资产交易平台建设后续费用</t>
  </si>
  <si>
    <t>2021年中国农民丰收节活动经费</t>
  </si>
  <si>
    <t>汕头市后江湾海堤修复加固工程项目前期经费（市级补助）</t>
  </si>
  <si>
    <t>2019年涉农资金调剂-汕头市三屿围濠江段海堤管理与保护范围确权划定界桩设立工作项目</t>
  </si>
  <si>
    <t>2019年涉农资金调剂-濠江区河涌整治大提升工程</t>
  </si>
  <si>
    <t>小型水库管护机制工作包干经费</t>
  </si>
  <si>
    <t>小型水库安全鉴定费用</t>
  </si>
  <si>
    <t>水土保持天地一体化动态监管工作技术服务费</t>
  </si>
  <si>
    <t>《濠江区水土保持规划》编制经费</t>
  </si>
  <si>
    <t>2019年涉农资金调剂-编制《濠江区规划水资源论证》</t>
  </si>
  <si>
    <t>汛期防汛值班补贴</t>
  </si>
  <si>
    <t>新时期精准扶贫小额信贷贴息专项资金</t>
  </si>
  <si>
    <t>农村集体资产资源管理服务交易平台系统的运行日常维护及服务器托管租用费</t>
  </si>
  <si>
    <t>“广东扶贫济困日”工作经费</t>
  </si>
  <si>
    <t>农业（畜牧）保险补贴</t>
  </si>
  <si>
    <t>政策性水稻种植保险区级配套资金</t>
  </si>
  <si>
    <t>乡村振兴发展中心、水利建管中心向社会购买服务工作经费</t>
  </si>
  <si>
    <t>2020年度濠江区耕地土壤环境质量类别划分边界核实和受污染耕地安全利用项目</t>
  </si>
  <si>
    <t>农村集体产权制度改革试点工作经费</t>
  </si>
  <si>
    <t>乡村振兴战略专项（农村工作发展）资金--汕头市“百村示范、千村整治”美丽乡村建设</t>
  </si>
  <si>
    <t>中心城区堤防常年维修管理费</t>
  </si>
  <si>
    <t>乡村振兴战略专项（精准扶贫及创文重点乡村水利设施建设项目）市级补助资金</t>
  </si>
  <si>
    <t>乡村振兴示范片补助经费（涉农区级配套）</t>
  </si>
  <si>
    <t>2019年涉农资金调剂-整治濠江4宗非法围网养殖</t>
  </si>
  <si>
    <t>2019年涉农资金调剂-濠江区水利行业节水型机关建设工作</t>
  </si>
  <si>
    <t>2019年涉农资金调剂-汕头市濠江区小型水库安全运行管理标准化建设</t>
  </si>
  <si>
    <t>三屿围养虾东场原管理机构人员社保费</t>
  </si>
  <si>
    <t>畜禽屠宰环节和养殖环节无害化处理补贴资金</t>
  </si>
  <si>
    <t>区农机管理站</t>
  </si>
  <si>
    <t>农业机械购置补贴工作经费</t>
  </si>
  <si>
    <t>区农产品质量安全监督检测站</t>
  </si>
  <si>
    <t>区民政局</t>
  </si>
  <si>
    <t>街道基层社会组织联合会建设</t>
  </si>
  <si>
    <t>社会组织和民间管理工作经费（含网络维护）</t>
  </si>
  <si>
    <t>行政区划界线及路标维护工作经费</t>
  </si>
  <si>
    <t>第二次全国地名普查成果转化</t>
  </si>
  <si>
    <t>地名普查档案整理归档工作经费</t>
  </si>
  <si>
    <t>婚姻登记工本费</t>
  </si>
  <si>
    <t>农村留守儿童关爱工作和困境儿童保障工作等经费</t>
  </si>
  <si>
    <t>百岁老人保健金</t>
  </si>
  <si>
    <t>高龄老人政府津贴</t>
  </si>
  <si>
    <t>殡葬惠民</t>
  </si>
  <si>
    <t>殡改年度工作补助经费</t>
  </si>
  <si>
    <t>困难残疾人生活补贴和重度残疾人护理补贴</t>
  </si>
  <si>
    <t>城市居民最低生活保障金</t>
  </si>
  <si>
    <t>农村居民最低生活保障金</t>
  </si>
  <si>
    <t>临时救助资金</t>
  </si>
  <si>
    <t>流浪乞讨人员救助及工作经费</t>
  </si>
  <si>
    <t>农村特困人员供养</t>
  </si>
  <si>
    <t>精简退职</t>
  </si>
  <si>
    <t>低保工作经费</t>
  </si>
  <si>
    <t>双百镇（街）社会工作服务站建设运营示范项目资金</t>
  </si>
  <si>
    <t>加强基层社会救助服务能力政府购买服务项目经费</t>
  </si>
  <si>
    <t>双百镇其他政府社会工作服务站工作经费</t>
  </si>
  <si>
    <t>清理整治不规范路牌标志设置与管理规范化工作经费</t>
  </si>
  <si>
    <t>养老床位设置补助和护理老人运营资助</t>
  </si>
  <si>
    <t>2020-2021年“双随机，一公开”对社会组织监管工作经费</t>
  </si>
  <si>
    <t>居务监督委员会成员补贴</t>
  </si>
  <si>
    <t>2020年-2021年居务监督委员会成员培训费</t>
  </si>
  <si>
    <t>2020年村（居）务监督委员会成员补贴经费 社（20）146号</t>
  </si>
  <si>
    <t>区劳动就业服务管理中心</t>
  </si>
  <si>
    <t>就业中心运行经费</t>
  </si>
  <si>
    <t>区旧城办</t>
  </si>
  <si>
    <t>金中预留发展用地回迁户办理房产登记等经费</t>
  </si>
  <si>
    <t>区各学校</t>
  </si>
  <si>
    <t>民生学校教学楼屋面补漏及墙体维修</t>
  </si>
  <si>
    <t>玉石小学教学楼改造配套（中小学校舍维修改造长效机制补助资金）</t>
  </si>
  <si>
    <t>西墩小学教学楼墙体和卫生间及配套修缮</t>
  </si>
  <si>
    <t>棉花小学运动场及配套</t>
  </si>
  <si>
    <t>珠浦第二小学改建教学综合楼</t>
  </si>
  <si>
    <t>珠浦第二小学改建围墙大门和运动场及配套项目</t>
  </si>
  <si>
    <t>双联小学教学楼卫生间、足球场及配套设施改造工程</t>
  </si>
  <si>
    <t>埭头学校山体挡土墙及场区配套建设</t>
  </si>
  <si>
    <t>溪头小学校舍及配套综合改造</t>
  </si>
  <si>
    <t>钱塘小学教学楼配套用房及场区改造</t>
  </si>
  <si>
    <t>河南小学校舍维修（使用2019年教育捐赠款）</t>
  </si>
  <si>
    <t>河北小学教学用房及配套设施综合改建项目</t>
  </si>
  <si>
    <t>华桥小学综合楼建设（使用2019年教育捐赠款）</t>
  </si>
  <si>
    <t>黎明小学扩建教学综合楼</t>
  </si>
  <si>
    <t>玉石小学教学楼升级改造工程</t>
  </si>
  <si>
    <t>葛洲学校运动场改造及配套项目</t>
  </si>
  <si>
    <t>黎明小学教学综合楼</t>
  </si>
  <si>
    <t>葛陈小学运动场改建工程项目</t>
  </si>
  <si>
    <t>埭头学校校舍综合改造工程</t>
  </si>
  <si>
    <t>溪头禧伦小学校区场地及围墙维修改造</t>
  </si>
  <si>
    <t>礐石中学扩建宿舍楼及配套设施项目</t>
  </si>
  <si>
    <t>达濠第三中学阶梯教室环境配套升级改造项目</t>
  </si>
  <si>
    <t>河浦中学教学楼前景观改造工程项目</t>
  </si>
  <si>
    <t>河浦中学学生宿舍楼及配套设施</t>
  </si>
  <si>
    <t>华附幼教部配套建设及设备购置（使用2019年教育捐赠款）</t>
  </si>
  <si>
    <t>教育工作补充经费（侨中）</t>
  </si>
  <si>
    <t>滨海中学教育补充经费</t>
  </si>
  <si>
    <t>区教师发展中心</t>
  </si>
  <si>
    <t>教学科研专项经费（含教科所）</t>
  </si>
  <si>
    <t>珠浦第二小学课桌椅等设备（使用2019年教育捐赠款）</t>
  </si>
  <si>
    <t>中心幼儿园</t>
  </si>
  <si>
    <t>学前教育幼儿资助</t>
  </si>
  <si>
    <t>华附</t>
  </si>
  <si>
    <t>物业管理购买服务费用</t>
  </si>
  <si>
    <t>华南师范大学附属濠江实验学校购置办公电脑设备经费</t>
  </si>
  <si>
    <t>华附濠江实验学校开办补助经费（图书馆管理系统及配套设备）</t>
  </si>
  <si>
    <t>教育装备建设项目经费</t>
  </si>
  <si>
    <t>建设改革创新示范学校补助经费</t>
  </si>
  <si>
    <t>职业技术教育中心</t>
  </si>
  <si>
    <t>新建学生宿舍楼、综合实训楼配套建设</t>
  </si>
  <si>
    <t>广澳中学综合实训楼和学生宿舍楼建设项目临时用电配电房工程</t>
  </si>
  <si>
    <t>广澳中学综合实训楼和学生宿舍楼及配套设施</t>
  </si>
  <si>
    <t>新校区运动场供水供电设施修缮经费</t>
  </si>
  <si>
    <t>创建教育现代化配套需要</t>
  </si>
  <si>
    <t>2019年中等职业教育综合改革试点建设市级专项补助资金</t>
  </si>
  <si>
    <t>中职教育国家助学金</t>
  </si>
  <si>
    <t>中职教育免学费补助</t>
  </si>
  <si>
    <t>区教育局</t>
  </si>
  <si>
    <t>教育局办公楼外墙维修及屋顶补漏</t>
  </si>
  <si>
    <t>华南幼儿园园舍维修改造（学前教育发展专项补助资金）</t>
  </si>
  <si>
    <t>濠江花园南区幼儿园园舍及配套设施建设</t>
  </si>
  <si>
    <t>中小学校舍小型建设项目</t>
  </si>
  <si>
    <t>预留2021年教育系统项目前期费用</t>
  </si>
  <si>
    <t>预留2021年教育系统项目工程款</t>
  </si>
  <si>
    <t>学前教育生均公用经费</t>
  </si>
  <si>
    <t>免除建档立卡等家庭经济困难学生学杂费补助</t>
  </si>
  <si>
    <t>公办普通高中生均公用经费</t>
  </si>
  <si>
    <t>民办代课教师补助</t>
  </si>
  <si>
    <t>省外高校贫困大学生助学金</t>
  </si>
  <si>
    <t>精准扶贫建档立卡贫困学生免学费和生活费补助</t>
  </si>
  <si>
    <t>教师节活动经费</t>
  </si>
  <si>
    <t>教师培训经费</t>
  </si>
  <si>
    <t>华南师范大学品牌费、管理费</t>
  </si>
  <si>
    <t>区公办中小学、幼儿园保安购买服务经费</t>
  </si>
  <si>
    <t>濠江花园南区幼儿园、广澳街道中心幼儿园学前教育购买服务经费</t>
  </si>
  <si>
    <t>教育综合改革工作经费--社区教育专项培训</t>
  </si>
  <si>
    <t>教育综合改革工作经费--体育艺术特色教育</t>
  </si>
  <si>
    <t>考点考务经费</t>
  </si>
  <si>
    <t>教育经费审计经费</t>
  </si>
  <si>
    <t>招聘招考新教师经费</t>
  </si>
  <si>
    <t>义务教育优质均衡发展区工作经费</t>
  </si>
  <si>
    <t>深化教育改革工作经费</t>
  </si>
  <si>
    <t>德育工作经费</t>
  </si>
  <si>
    <t>考试招生工作经费</t>
  </si>
  <si>
    <t>政府履行教育职责考核工作经费</t>
  </si>
  <si>
    <t>2019-2020年原民办教师和原代课教师生活困难补助市级资金</t>
  </si>
  <si>
    <t>捐资助学支出</t>
  </si>
  <si>
    <t>学前教育公用经费</t>
  </si>
  <si>
    <t>2019年全省学前教育生均拨款经费补助资金</t>
  </si>
  <si>
    <t>教育高质量发展工作经费--教育科研经费</t>
  </si>
  <si>
    <t>濠江区2019年中小学教育装备建设项目资金</t>
  </si>
  <si>
    <t>1+8综合改革经费教育科研经费</t>
  </si>
  <si>
    <t>中小学教育经费审计经费</t>
  </si>
  <si>
    <t>2018年原民办教师和原代课教师生活困难补助市级资金</t>
  </si>
  <si>
    <t>教育系统创建文明校园专项经费</t>
  </si>
  <si>
    <t>提前下达2019年原民办代课教师生活困难补助资金</t>
  </si>
  <si>
    <t>1+8教育综合改革--社区教育专项培训</t>
  </si>
  <si>
    <t>1+8教育综合改革--体育艺术特色教育</t>
  </si>
  <si>
    <t>教师培训经费（学历提升）--教师队伍建设经费</t>
  </si>
  <si>
    <t>1+8教育综合改革--教育科研经费</t>
  </si>
  <si>
    <t>828系列活动经费</t>
  </si>
  <si>
    <t>提前下达2019年中等职业学校国家助学金和免学费补助资金</t>
  </si>
  <si>
    <t>2018年特殊教育中央补助经费</t>
  </si>
  <si>
    <t>2019年特殊教育学校建设维护资金</t>
  </si>
  <si>
    <t>特殊教育办学购买服务经费缺额资金</t>
  </si>
  <si>
    <t>区建筑施工劳保费管理中心</t>
  </si>
  <si>
    <t>新型墙体材料专项基金返退款</t>
  </si>
  <si>
    <t>散装水泥和新型墙材业务经费</t>
  </si>
  <si>
    <t>工程造价信息发布购买服务经费</t>
  </si>
  <si>
    <t>区检察院</t>
  </si>
  <si>
    <t>办案补充经费</t>
  </si>
  <si>
    <t>区纪委监委机关</t>
  </si>
  <si>
    <t>纪检监察机关陪护队伍工作经费</t>
  </si>
  <si>
    <t>年度例会</t>
  </si>
  <si>
    <t>区疾病预防控制中心</t>
  </si>
  <si>
    <t>二类疫苗费</t>
  </si>
  <si>
    <t>慢病经费</t>
  </si>
  <si>
    <t>卫生监测工作经费</t>
  </si>
  <si>
    <t>饮用水水质卫生监测工作经费</t>
  </si>
  <si>
    <t>结核病控制经费</t>
  </si>
  <si>
    <t>预防性体检工作经费</t>
  </si>
  <si>
    <t>传染病疫情报告系统</t>
  </si>
  <si>
    <t>PCR实验室建设工作专项经费</t>
  </si>
  <si>
    <t>区环境卫生事务中心</t>
  </si>
  <si>
    <t>珠浦路保洁经费</t>
  </si>
  <si>
    <t>购买垃圾环保箱经费</t>
  </si>
  <si>
    <t>区红十字会</t>
  </si>
  <si>
    <t>工作经费</t>
  </si>
  <si>
    <t>备灾救灾专项经费</t>
  </si>
  <si>
    <t>区规划测绘院</t>
  </si>
  <si>
    <t>采购办公设备、耗材及维修保养等</t>
  </si>
  <si>
    <t>区供销社行政</t>
  </si>
  <si>
    <t>综合性合作经济组织建设工作经费</t>
  </si>
  <si>
    <t>区工业和信息化局</t>
  </si>
  <si>
    <t>招商引资工作经费</t>
  </si>
  <si>
    <t>产业发展优惠政策奖励经费</t>
  </si>
  <si>
    <t>濠江区驻深圳招商服务中心购买服务经费</t>
  </si>
  <si>
    <t>高新技术企业认定奖励</t>
  </si>
  <si>
    <t>高新技术企业认定奖励项目</t>
  </si>
  <si>
    <t>推动小微企业上规模奖补资金</t>
  </si>
  <si>
    <t>提前复工生产疫情防控应急保障物资或零部件的企业奖励</t>
  </si>
  <si>
    <t>2020年第一季度工业产值、销售额和建安产值完成奖励资金</t>
  </si>
  <si>
    <t>预留各项扶持及奖励政策兑现资金</t>
  </si>
  <si>
    <t>区生产力促进中心</t>
  </si>
  <si>
    <t>濠江区科技创新公共服务平台建设项目</t>
  </si>
  <si>
    <t>区妇联</t>
  </si>
  <si>
    <t>街道妇联经费</t>
  </si>
  <si>
    <t>三八节经费</t>
  </si>
  <si>
    <t>六一节经费</t>
  </si>
  <si>
    <t>家庭教育和小公民教育经费</t>
  </si>
  <si>
    <t>妇儿工委监测评估经费</t>
  </si>
  <si>
    <t>单亲特困母亲、困境儿童家庭慰问活动经费</t>
  </si>
  <si>
    <t>安保设备经费</t>
  </si>
  <si>
    <t>区房屋管理所</t>
  </si>
  <si>
    <t>发放保障对象住房租赁补贴</t>
  </si>
  <si>
    <t>房改信息管理系统</t>
  </si>
  <si>
    <t>区法院</t>
  </si>
  <si>
    <t>书记员经费</t>
  </si>
  <si>
    <t>诉前调解中心工作包干经费</t>
  </si>
  <si>
    <t>执行工作专项经费</t>
  </si>
  <si>
    <t>聘用制人员包干经费</t>
  </si>
  <si>
    <t>区发展改革局</t>
  </si>
  <si>
    <t>概算审查经费</t>
  </si>
  <si>
    <t>经济发展目标工作经费补助</t>
  </si>
  <si>
    <t>申请中央资金、债券、前期经费等费用</t>
  </si>
  <si>
    <t>区重点办工作经费</t>
  </si>
  <si>
    <t>区重点产业片区建设招商领导小组办公室工作经费（购买服务）</t>
  </si>
  <si>
    <t>可行性研究报告专家评审费</t>
  </si>
  <si>
    <t>现代产业项目评估论证费用</t>
  </si>
  <si>
    <t>区级节能专项资金</t>
  </si>
  <si>
    <t>区动物疫病预防控制中心</t>
  </si>
  <si>
    <t>科技转换与推广服务</t>
  </si>
  <si>
    <t>动物病虫害控制</t>
  </si>
  <si>
    <t>区城管局</t>
  </si>
  <si>
    <t>城市建成区黑臭水体整治</t>
  </si>
  <si>
    <t>无线多媒体调度指挥系统线路费用</t>
  </si>
  <si>
    <t>数字城管二期互联网租金（一年费用）</t>
  </si>
  <si>
    <t>数字城管一期互联网租金(一年费用）</t>
  </si>
  <si>
    <t>北山湾路绿网搭设包干费用</t>
  </si>
  <si>
    <t>生活垃圾应急分流转运</t>
  </si>
  <si>
    <t>大件垃圾和园林绿化垃圾末端资源化处理</t>
  </si>
  <si>
    <t>更新垃圾转运车辆和设备项目</t>
  </si>
  <si>
    <t>菊展经费</t>
  </si>
  <si>
    <t>玉新街道垃圾分类示范片区创建经费</t>
  </si>
  <si>
    <t>区市政所</t>
  </si>
  <si>
    <t>市政设施水费</t>
  </si>
  <si>
    <t>区残联</t>
  </si>
  <si>
    <t>救助、慰问困难残疾人经费</t>
  </si>
  <si>
    <t>残疾学生及困难残疾人子女助学金</t>
  </si>
  <si>
    <t>残疾人居家无障碍改造配套经费</t>
  </si>
  <si>
    <t>康复中心购买服务经费</t>
  </si>
  <si>
    <t>社区康园运行补助经费</t>
  </si>
  <si>
    <t>保安、保安人员工资</t>
  </si>
  <si>
    <t>区残疾人康复中心康复经费</t>
  </si>
  <si>
    <t>濠江区残疾人联合会办公用房修缮项目</t>
  </si>
  <si>
    <t>区财政局（代编）</t>
  </si>
  <si>
    <t>城乡义务兵优待金专项上解</t>
  </si>
  <si>
    <t>预留非税支出</t>
  </si>
  <si>
    <t>体制预留经费</t>
  </si>
  <si>
    <t>2020年正常离任村干部生活补助经费（市级）</t>
  </si>
  <si>
    <t>预留农村基层经费</t>
  </si>
  <si>
    <t>税收返还资金</t>
  </si>
  <si>
    <t>困难社区补助</t>
  </si>
  <si>
    <t>2020年选聘生到村任职中央财政补助资金</t>
  </si>
  <si>
    <t>汕市财行〔2021〕127号收回</t>
  </si>
  <si>
    <t>2020年正常离任村干部生活补助经费（省级）</t>
  </si>
  <si>
    <t>预留工作性经费</t>
  </si>
  <si>
    <t>基本公共服务领域改革涉及支出基数上解</t>
  </si>
  <si>
    <t>可再生能源电价附加增值返还资金各区扣款</t>
  </si>
  <si>
    <t>编号202111134</t>
  </si>
  <si>
    <t>上划2021年治安联防队员经费</t>
  </si>
  <si>
    <t>汕市财行〔2021〕82号</t>
  </si>
  <si>
    <t>小公园开埠区保护和改造资金上解</t>
  </si>
  <si>
    <t>汕市财财〔2021〕161号</t>
  </si>
  <si>
    <t>地方政府一般债务发行及服务费</t>
  </si>
  <si>
    <t>预留工作性和政策性专项经费</t>
  </si>
  <si>
    <t>农村财务管理经费</t>
  </si>
  <si>
    <t>巨灾保险费区级配套资金</t>
  </si>
  <si>
    <t>农业资源保护与修复利用</t>
  </si>
  <si>
    <t>农民专业合作社工作经费</t>
  </si>
  <si>
    <t>提前下达2020年推进农村会计代理业务及财务监管平台建设工作经费</t>
  </si>
  <si>
    <t>乡村振兴市级考核补助资金</t>
  </si>
  <si>
    <t>农口政策性预留（含岁修费）</t>
  </si>
  <si>
    <t>政策性渔业保险工作经费</t>
  </si>
  <si>
    <t>财务检查专项经费</t>
  </si>
  <si>
    <t>财政委托业务支出经费</t>
  </si>
  <si>
    <t>采购办聘用专家经费</t>
  </si>
  <si>
    <t>金融股</t>
  </si>
  <si>
    <t>金融发展支出</t>
  </si>
  <si>
    <t>预备役高炮团第四团军官工作性津贴</t>
  </si>
  <si>
    <t>上划市联防治安经费</t>
  </si>
  <si>
    <t>“平安汕头”智能视频监控系统租赁资金</t>
  </si>
  <si>
    <t>见义勇为奖励经费</t>
  </si>
  <si>
    <t>预留创文经费</t>
  </si>
  <si>
    <t>预留工作性专项</t>
  </si>
  <si>
    <t>预留配套性专项</t>
  </si>
  <si>
    <t>预留换届选举专项经费</t>
  </si>
  <si>
    <t>预留纪念建党100周年各项经费</t>
  </si>
  <si>
    <t>预留人才发展基金</t>
  </si>
  <si>
    <t>粤鑫资产投资有限公司日常经费</t>
  </si>
  <si>
    <t>预留各单位丧葬费和抚恤金</t>
  </si>
  <si>
    <t>生态环境保护“十四五”规划编制经费</t>
  </si>
  <si>
    <t>预留工贸股各项经费</t>
  </si>
  <si>
    <t>区财政局</t>
  </si>
  <si>
    <t>银行手续费</t>
  </si>
  <si>
    <t>预算、国库管理工作经费</t>
  </si>
  <si>
    <t>数字财政工作经费</t>
  </si>
  <si>
    <t>债务管理工作经费</t>
  </si>
  <si>
    <t>财务报告编制工作经费</t>
  </si>
  <si>
    <t>金融管理工作经费</t>
  </si>
  <si>
    <t>全区财务人员培训经费</t>
  </si>
  <si>
    <t>会计监督检查（绩评）工作经费</t>
  </si>
  <si>
    <t>协税经费补助</t>
  </si>
  <si>
    <t>设备购置及维护经费</t>
  </si>
  <si>
    <t>会计档案资料整理等工作经费</t>
  </si>
  <si>
    <t>政府采购智慧云平台现场运维服务经费</t>
  </si>
  <si>
    <t>公务用车购置经费</t>
  </si>
  <si>
    <t>南山湾办</t>
  </si>
  <si>
    <t>汕头市濠江区党群服务中心物业管理费及水电费</t>
  </si>
  <si>
    <t>濠江区政务服务网“政企直通车”栏目建设项目二期</t>
  </si>
  <si>
    <t>协调经费工作补助、园区宣传费用、招商引资工作经费</t>
  </si>
  <si>
    <t>公共资源交易中心</t>
  </si>
  <si>
    <t>市公共资源交易中心濠江分中心运转经费</t>
  </si>
  <si>
    <t>网上交易系统维护专项费用</t>
  </si>
  <si>
    <t>中海信物业水电费</t>
  </si>
  <si>
    <t>中介超市运营劳务服务外包购买服务包干经费</t>
  </si>
  <si>
    <t>公安局濠江分局</t>
  </si>
  <si>
    <t>禁毒工作补助经费</t>
  </si>
  <si>
    <t>辅警人员经费</t>
  </si>
  <si>
    <t>“平安濠江”视频监控线路租金</t>
  </si>
  <si>
    <t>社会治安辅助服务工作经费</t>
  </si>
  <si>
    <t>区公安分局业务补助经费</t>
  </si>
  <si>
    <t>预留公安专项经费</t>
  </si>
  <si>
    <t>购买警械装备经费</t>
  </si>
  <si>
    <t>道路交通涉案车辆保管场购买服务经费</t>
  </si>
  <si>
    <t>各派出所工作补助经费</t>
  </si>
  <si>
    <t>附表4</t>
  </si>
  <si>
    <t>汕头市濠江区2021年公共财政上级财力性补助收支预算调整表</t>
  </si>
  <si>
    <t>项目</t>
  </si>
  <si>
    <t>上级财力性补助收入</t>
  </si>
  <si>
    <t>使用范围</t>
  </si>
  <si>
    <t>年初预算</t>
  </si>
  <si>
    <t>第二次调整预算</t>
  </si>
  <si>
    <t>民生支出</t>
  </si>
  <si>
    <t>运转支出</t>
  </si>
  <si>
    <t>协调发展支出</t>
  </si>
  <si>
    <t>省</t>
  </si>
  <si>
    <t>市</t>
  </si>
  <si>
    <t>农村、城市居民最低生活保障金</t>
  </si>
  <si>
    <t>临时救助、医疗救助</t>
  </si>
  <si>
    <t>城乡居民社会养老保险和基本医疗保险</t>
  </si>
  <si>
    <t>困难残疾人生活补贴和重度残疾人护理补贴、残疾人居家无障碍改造配套经费、残疾学生及困难残疾人子女助学金等</t>
  </si>
  <si>
    <t>部分退役士兵社会保险接续等</t>
  </si>
  <si>
    <t>退伍兵安置金、义务兵优待金等</t>
  </si>
  <si>
    <t>殡葬公共服务均等化</t>
  </si>
  <si>
    <t>教育义教、特殊教育公用经费</t>
  </si>
  <si>
    <t>助学金免学费补助</t>
  </si>
  <si>
    <t>教师奖励性绩效工资</t>
  </si>
  <si>
    <t>二类疫苗费用</t>
  </si>
  <si>
    <t>赤脚医生生活补</t>
  </si>
  <si>
    <t>计生对象奖励和计生家庭商业保险等计生专项</t>
  </si>
  <si>
    <t>高龄老人政府津贴、百岁老人保健金及“银龄安康”行动60周岁以下老人保险费等</t>
  </si>
  <si>
    <t>严重精神障碍患者监护补助</t>
  </si>
  <si>
    <t>“平安濠江”视频监控系统专项</t>
  </si>
  <si>
    <t>食品安全监督抽检</t>
  </si>
  <si>
    <t>森防扑火、消防装备经费</t>
  </si>
  <si>
    <t>小计</t>
  </si>
  <si>
    <t>增值税和消费税税收返还收入</t>
  </si>
  <si>
    <t>经常性财力补助</t>
  </si>
  <si>
    <t>增值税五五分成税收返还收入</t>
  </si>
  <si>
    <t>所得税基数返还收入</t>
  </si>
  <si>
    <t>市对区（县）财力补助</t>
  </si>
  <si>
    <t>其他一般性转移支付收入（省市下划机构补助基数）</t>
  </si>
  <si>
    <t>其他一般性转移支付收入（缓解县乡财政困难综合性财力补助）</t>
  </si>
  <si>
    <t>其他一般性转移支付收入（农业转移人口市民化奖励资金）</t>
  </si>
  <si>
    <t>其他一般性转移支付收入（生态保护区财政补偿转移支付资金）</t>
  </si>
  <si>
    <t>其他一般性转移支付收入（2020年度“天际电器项目”专项补助）</t>
  </si>
  <si>
    <t>其他税收返还收入</t>
  </si>
  <si>
    <t>补助中心城区转移支付</t>
  </si>
  <si>
    <t>调整工资转移支付补助收入</t>
  </si>
  <si>
    <t>农村税费改革补助收入</t>
  </si>
  <si>
    <t>市体制确定返还濠江不足2017-2019年3年共享收入平均数的基数</t>
  </si>
  <si>
    <t>非经常性财力补助</t>
  </si>
  <si>
    <t>县级基本财力保障机制奖补资金收入</t>
  </si>
  <si>
    <t>均衡性补助收入</t>
  </si>
  <si>
    <t>说明：根据《广东省人民政府办公厅关于印发广东省财政一般性转移支付资金管理办法的通知》（粤府办〔2014〕31号）要求编制。</t>
  </si>
  <si>
    <t>附表5</t>
  </si>
  <si>
    <t>汕头市濠江区2021年政府性基金预算收入计划调整表</t>
  </si>
  <si>
    <t>比增 %</t>
  </si>
  <si>
    <t>一、非税收入</t>
  </si>
  <si>
    <t xml:space="preserve">    1.国有土地收益基金收入</t>
  </si>
  <si>
    <t xml:space="preserve">    2.农业土地开发资金收入</t>
  </si>
  <si>
    <t xml:space="preserve">    3.土地出让价款收入</t>
  </si>
  <si>
    <t xml:space="preserve">    4.其他土地出让收入</t>
  </si>
  <si>
    <t xml:space="preserve">    5.补缴的土地价款</t>
  </si>
  <si>
    <t xml:space="preserve">    6.划拨土地收入</t>
  </si>
  <si>
    <t xml:space="preserve">    7.缴纳新增建设用地土地有偿使用费</t>
  </si>
  <si>
    <t xml:space="preserve">    8.福利彩票公益金收入</t>
  </si>
  <si>
    <t xml:space="preserve">    9.城市基础设施配套费收入</t>
  </si>
  <si>
    <t>二、转移性收入</t>
  </si>
  <si>
    <t xml:space="preserve">   1.上级专项性补助收入</t>
  </si>
  <si>
    <t xml:space="preserve">   2.上年结余收入</t>
  </si>
  <si>
    <t xml:space="preserve">   3.上级债券收入</t>
  </si>
  <si>
    <t xml:space="preserve">   4.再融资专项债券转贷收入</t>
  </si>
  <si>
    <t>附表6</t>
  </si>
  <si>
    <t>汕头市濠江区2021年本级政府性基金预算收入项目调整表</t>
  </si>
  <si>
    <t>负责单位</t>
  </si>
  <si>
    <t>用地性质/项目</t>
  </si>
  <si>
    <t>用地位置</t>
  </si>
  <si>
    <t>面积（亩）</t>
  </si>
  <si>
    <t>变动</t>
  </si>
  <si>
    <t>出让方式</t>
  </si>
  <si>
    <t>区新城办
区土储中心</t>
  </si>
  <si>
    <t>住宅用地</t>
  </si>
  <si>
    <t>南滨片区02-04-11（统征地）</t>
  </si>
  <si>
    <t>已缴库</t>
  </si>
  <si>
    <t>挂牌</t>
  </si>
  <si>
    <t>南滨片区03-01-11(统征地)</t>
  </si>
  <si>
    <t>挂牌截止2021.12.28下午3点，一次性上缴</t>
  </si>
  <si>
    <t>南滨片区西片区濠江HJ-003-04 -00202地块（统征地）</t>
  </si>
  <si>
    <t>南滨路与濠洲路交界的西南片区、南滨片区04-04-02（非统征地）</t>
  </si>
  <si>
    <t>南滨路与濠洲路交界的西南片区、南滨片区04-04-04（非统征地）</t>
  </si>
  <si>
    <t>中信项目小计</t>
  </si>
  <si>
    <t>区土储中心
区招商局</t>
  </si>
  <si>
    <t>渔港B-02地块</t>
  </si>
  <si>
    <t>挂牌截止2021.12.28上午10点。第一次起拍价28685万元，分两次上缴</t>
  </si>
  <si>
    <t>南山湾旅游度假区a01-06住宅用地</t>
  </si>
  <si>
    <t>工业</t>
  </si>
  <si>
    <t>汕头南新城市中心STN-03-28地块（滨海工业区）</t>
  </si>
  <si>
    <t>中国（濠江）河浦片、台商片（电子电路工业基地）A04-03地块，河浦片区“红歧”地段</t>
  </si>
  <si>
    <t>2021.11.30已成交</t>
  </si>
  <si>
    <t>青洲盐场</t>
  </si>
  <si>
    <t>挂牌截止2021.12.16          上午10点</t>
  </si>
  <si>
    <t>区土储中心
广澳街道</t>
  </si>
  <si>
    <t>广澳溪头工业区5宗地</t>
  </si>
  <si>
    <t>区土储中心
区工业和信息化局</t>
  </si>
  <si>
    <t>教育科研用地</t>
  </si>
  <si>
    <t>河浦高级中学北侧</t>
  </si>
  <si>
    <t>汕头市南山湾产业园B15-01地块内东南侧用地</t>
  </si>
  <si>
    <t>“三旧”改造项目           （青林塔脚池项目）</t>
  </si>
  <si>
    <t>青林塔脚池</t>
  </si>
  <si>
    <t>协议</t>
  </si>
  <si>
    <t>其他补缴划拨项目</t>
  </si>
  <si>
    <t>补缴/划拨</t>
  </si>
  <si>
    <t>上缴新增建设用地有偿使用费                                  及有关资金</t>
  </si>
  <si>
    <t>土地基金区内项目小计</t>
  </si>
  <si>
    <t>一、土地基金合计</t>
  </si>
  <si>
    <t>二、城市基础设施配套费收入</t>
  </si>
  <si>
    <t>三、福彩公益金收入</t>
  </si>
  <si>
    <t>2021年度政府性基金收入合计</t>
  </si>
  <si>
    <t>其中：本级项目收入（不含中信项目）</t>
  </si>
  <si>
    <t>附表7</t>
  </si>
  <si>
    <t>汕头市濠江区2021年政府性基金预算支出计划功能科目调整表</t>
  </si>
  <si>
    <t>第二次调整预算数</t>
  </si>
  <si>
    <t>批增</t>
  </si>
  <si>
    <t>同类调剂</t>
  </si>
  <si>
    <t>跨类调剂</t>
  </si>
  <si>
    <t>207</t>
  </si>
  <si>
    <t>文化体育与传媒</t>
  </si>
  <si>
    <t>20707</t>
  </si>
  <si>
    <t xml:space="preserve">  国家电影事业发展专项资金及对应专项债务收入安排的支出</t>
  </si>
  <si>
    <t>212</t>
  </si>
  <si>
    <t>城乡社区事务</t>
  </si>
  <si>
    <t>21208</t>
  </si>
  <si>
    <t xml:space="preserve">  国有土地使用权出让收入安排的支出</t>
  </si>
  <si>
    <r>
      <rPr>
        <sz val="11"/>
        <rFont val="Times New Roman"/>
        <charset val="134"/>
      </rPr>
      <t xml:space="preserve">         </t>
    </r>
    <r>
      <rPr>
        <sz val="11"/>
        <rFont val="宋体"/>
        <charset val="134"/>
      </rPr>
      <t>征地和拆迁补偿支出</t>
    </r>
  </si>
  <si>
    <r>
      <rPr>
        <sz val="11"/>
        <rFont val="Times New Roman"/>
        <charset val="134"/>
      </rPr>
      <t xml:space="preserve">         </t>
    </r>
    <r>
      <rPr>
        <sz val="11"/>
        <rFont val="宋体"/>
        <charset val="134"/>
      </rPr>
      <t>土地开发支出</t>
    </r>
  </si>
  <si>
    <t xml:space="preserve">    城市建设支出</t>
  </si>
  <si>
    <r>
      <rPr>
        <sz val="11"/>
        <rFont val="Times New Roman"/>
        <charset val="134"/>
      </rPr>
      <t xml:space="preserve">         </t>
    </r>
    <r>
      <rPr>
        <sz val="11"/>
        <rFont val="宋体"/>
        <charset val="134"/>
      </rPr>
      <t>农村基础设施建设支出</t>
    </r>
  </si>
  <si>
    <t xml:space="preserve">    补助被征地农民支出</t>
  </si>
  <si>
    <r>
      <rPr>
        <sz val="11"/>
        <rFont val="Times New Roman"/>
        <charset val="134"/>
      </rPr>
      <t xml:space="preserve">         </t>
    </r>
    <r>
      <rPr>
        <sz val="11"/>
        <rFont val="宋体"/>
        <charset val="134"/>
      </rPr>
      <t>土地出让业务支出</t>
    </r>
  </si>
  <si>
    <r>
      <rPr>
        <sz val="11"/>
        <rFont val="Times New Roman"/>
        <charset val="134"/>
      </rPr>
      <t xml:space="preserve">          </t>
    </r>
    <r>
      <rPr>
        <sz val="11"/>
        <rFont val="宋体"/>
        <charset val="134"/>
      </rPr>
      <t>廉租住房支出</t>
    </r>
  </si>
  <si>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</si>
  <si>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</si>
  <si>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</si>
  <si>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</si>
  <si>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</si>
  <si>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</si>
  <si>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</si>
  <si>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</si>
  <si>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</si>
  <si>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</si>
  <si>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</si>
  <si>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</si>
  <si>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</si>
  <si>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</si>
  <si>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</si>
  <si>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</si>
  <si>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</si>
  <si>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</si>
  <si>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</si>
  <si>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</si>
  <si>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</si>
  <si>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</si>
  <si>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</si>
  <si>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</si>
  <si>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</si>
  <si>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</si>
  <si>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</si>
  <si>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2121302</t>
  </si>
  <si>
    <t xml:space="preserve">    城市环境卫生</t>
  </si>
  <si>
    <t xml:space="preserve">    其他城市基础设施配套费安排的支出</t>
  </si>
  <si>
    <t>229</t>
  </si>
  <si>
    <t>22904</t>
  </si>
  <si>
    <t xml:space="preserve"> 其他政府性基金及对应专项收入安排的支出</t>
  </si>
  <si>
    <t>2290402</t>
  </si>
  <si>
    <t xml:space="preserve">   其他地方自行试点项目收益专项债券收入安排的支出</t>
  </si>
  <si>
    <t>22908</t>
  </si>
  <si>
    <t xml:space="preserve"> 彩票发行销售机构业务费安排的支出</t>
  </si>
  <si>
    <t>2290804</t>
  </si>
  <si>
    <t xml:space="preserve">   福利彩票销售机构的业务费支出</t>
  </si>
  <si>
    <t>22960</t>
  </si>
  <si>
    <r>
      <rPr>
        <sz val="11"/>
        <rFont val="Times New Roman"/>
        <charset val="134"/>
      </rPr>
      <t xml:space="preserve">     </t>
    </r>
    <r>
      <rPr>
        <sz val="11"/>
        <rFont val="宋体"/>
        <charset val="134"/>
      </rPr>
      <t>彩票公益金安排的支出</t>
    </r>
  </si>
  <si>
    <t>2296001</t>
  </si>
  <si>
    <r>
      <rPr>
        <sz val="11"/>
        <rFont val="Times New Roman"/>
        <charset val="134"/>
      </rPr>
      <t xml:space="preserve">         </t>
    </r>
    <r>
      <rPr>
        <sz val="11"/>
        <rFont val="宋体"/>
        <charset val="134"/>
      </rPr>
      <t>用于补充全国社会保障基金的彩票公益金支出</t>
    </r>
  </si>
  <si>
    <t>2296002</t>
  </si>
  <si>
    <r>
      <rPr>
        <sz val="11"/>
        <rFont val="Times New Roman"/>
        <charset val="134"/>
      </rPr>
      <t xml:space="preserve">        </t>
    </r>
    <r>
      <rPr>
        <sz val="11"/>
        <rFont val="宋体"/>
        <charset val="134"/>
      </rPr>
      <t>用于社会福利的彩票公益金支出</t>
    </r>
  </si>
  <si>
    <t>2296003</t>
  </si>
  <si>
    <r>
      <rPr>
        <sz val="11"/>
        <rFont val="Times New Roman"/>
        <charset val="134"/>
      </rPr>
      <t xml:space="preserve">        </t>
    </r>
    <r>
      <rPr>
        <sz val="11"/>
        <rFont val="宋体"/>
        <charset val="134"/>
      </rPr>
      <t>用于体育事业的彩票公益金支出</t>
    </r>
  </si>
  <si>
    <t>2296004</t>
  </si>
  <si>
    <r>
      <rPr>
        <sz val="11"/>
        <rFont val="Times New Roman"/>
        <charset val="134"/>
      </rPr>
      <t xml:space="preserve">        </t>
    </r>
    <r>
      <rPr>
        <sz val="11"/>
        <rFont val="宋体"/>
        <charset val="134"/>
      </rPr>
      <t>用于教育事业的彩票公益金支出</t>
    </r>
  </si>
  <si>
    <t>2296006</t>
  </si>
  <si>
    <r>
      <rPr>
        <sz val="11"/>
        <rFont val="Times New Roman"/>
        <charset val="134"/>
      </rPr>
      <t xml:space="preserve">        </t>
    </r>
    <r>
      <rPr>
        <sz val="11"/>
        <rFont val="宋体"/>
        <charset val="134"/>
      </rPr>
      <t>用于残疾人事务的彩票公益金支出</t>
    </r>
  </si>
  <si>
    <t>2296007</t>
  </si>
  <si>
    <r>
      <rPr>
        <sz val="11"/>
        <rFont val="Times New Roman"/>
        <charset val="134"/>
      </rPr>
      <t xml:space="preserve">        </t>
    </r>
    <r>
      <rPr>
        <sz val="11"/>
        <rFont val="宋体"/>
        <charset val="134"/>
      </rPr>
      <t>用于城市医疗救助的彩票公益金支出</t>
    </r>
    <r>
      <rPr>
        <sz val="11"/>
        <rFont val="Times New Roman"/>
        <charset val="134"/>
      </rPr>
      <t xml:space="preserve"> </t>
    </r>
  </si>
  <si>
    <t>2296008</t>
  </si>
  <si>
    <r>
      <rPr>
        <sz val="11"/>
        <rFont val="Times New Roman"/>
        <charset val="134"/>
      </rPr>
      <t xml:space="preserve">        </t>
    </r>
    <r>
      <rPr>
        <sz val="11"/>
        <rFont val="宋体"/>
        <charset val="134"/>
      </rPr>
      <t>用于农村医疗救助的彩票公益金支出</t>
    </r>
    <r>
      <rPr>
        <sz val="11"/>
        <rFont val="Times New Roman"/>
        <charset val="134"/>
      </rPr>
      <t xml:space="preserve"> </t>
    </r>
  </si>
  <si>
    <t>2296010</t>
  </si>
  <si>
    <r>
      <rPr>
        <sz val="11"/>
        <rFont val="Times New Roman"/>
        <charset val="134"/>
      </rPr>
      <t xml:space="preserve">        </t>
    </r>
    <r>
      <rPr>
        <sz val="11"/>
        <rFont val="宋体"/>
        <charset val="134"/>
      </rPr>
      <t>用于文化事业的彩票公益金支出</t>
    </r>
    <r>
      <rPr>
        <sz val="11"/>
        <rFont val="Times New Roman"/>
        <charset val="134"/>
      </rPr>
      <t xml:space="preserve"> </t>
    </r>
  </si>
  <si>
    <t>2296013</t>
  </si>
  <si>
    <r>
      <rPr>
        <sz val="11"/>
        <rFont val="Times New Roman"/>
        <charset val="134"/>
      </rPr>
      <t xml:space="preserve">        </t>
    </r>
    <r>
      <rPr>
        <sz val="11"/>
        <rFont val="宋体"/>
        <charset val="134"/>
      </rPr>
      <t>用于城乡医疗救助的彩票公益金支出</t>
    </r>
    <r>
      <rPr>
        <sz val="11"/>
        <rFont val="Times New Roman"/>
        <charset val="134"/>
      </rPr>
      <t xml:space="preserve"> </t>
    </r>
  </si>
  <si>
    <t>2296099</t>
  </si>
  <si>
    <r>
      <rPr>
        <sz val="11"/>
        <rFont val="Times New Roman"/>
        <charset val="134"/>
      </rPr>
      <t xml:space="preserve">        </t>
    </r>
    <r>
      <rPr>
        <sz val="11"/>
        <rFont val="宋体"/>
        <charset val="134"/>
      </rPr>
      <t>用于其他社会公益事业的彩票公益金支出</t>
    </r>
  </si>
  <si>
    <t>230</t>
  </si>
  <si>
    <t>23004</t>
  </si>
  <si>
    <t xml:space="preserve">  政府性基金转移支付</t>
  </si>
  <si>
    <t xml:space="preserve">    政府性基金补助支出</t>
  </si>
  <si>
    <t>23008</t>
  </si>
  <si>
    <t xml:space="preserve">  调出资金</t>
  </si>
  <si>
    <t>23009</t>
  </si>
  <si>
    <t xml:space="preserve">  年终结余</t>
  </si>
  <si>
    <t>231</t>
  </si>
  <si>
    <t>23104</t>
  </si>
  <si>
    <t xml:space="preserve">  地方政府专项债务还本支出</t>
  </si>
  <si>
    <t>2310411</t>
  </si>
  <si>
    <t xml:space="preserve">    国有土地使用权出让金债务还本支出</t>
  </si>
  <si>
    <t>232</t>
  </si>
  <si>
    <t>23204</t>
  </si>
  <si>
    <t xml:space="preserve">  地方政府专项债务付息支出</t>
  </si>
  <si>
    <t>2320411</t>
  </si>
  <si>
    <t xml:space="preserve">    国有土地使用权出让金债务付息支出</t>
  </si>
  <si>
    <t>2320431</t>
  </si>
  <si>
    <t xml:space="preserve">    土地储备专项债券付息支出</t>
  </si>
  <si>
    <t>2320498</t>
  </si>
  <si>
    <t xml:space="preserve">    其他地方自行试点项目收益专项债券付息支出</t>
  </si>
  <si>
    <t>233</t>
  </si>
  <si>
    <t>23304</t>
  </si>
  <si>
    <t xml:space="preserve">  地方政府专项债务发行费用支出</t>
  </si>
  <si>
    <t>2330411</t>
  </si>
  <si>
    <t xml:space="preserve">    国有土地使用权出让金债务发行费用支出</t>
  </si>
  <si>
    <t>2330431</t>
  </si>
  <si>
    <t xml:space="preserve">    土地储备专项债券发行费用支出</t>
  </si>
  <si>
    <t>2330498</t>
  </si>
  <si>
    <t xml:space="preserve">    其他地方自行试点项目收益专项债券发行费用支出</t>
  </si>
  <si>
    <t>234</t>
  </si>
  <si>
    <t>抗疫特别国债安排的支出</t>
  </si>
  <si>
    <t>23401</t>
  </si>
  <si>
    <t>基础设施建设</t>
  </si>
  <si>
    <t>2340101</t>
  </si>
  <si>
    <t>公共卫生体系建设</t>
  </si>
  <si>
    <t>2340199</t>
  </si>
  <si>
    <t>其他基础设施建设</t>
  </si>
  <si>
    <t>基金预算支出合计</t>
  </si>
  <si>
    <t>附表8</t>
  </si>
  <si>
    <t>汕头市濠江区2021年本级政府性基金预算支出项目调整表</t>
  </si>
  <si>
    <t>归口股室名称</t>
  </si>
  <si>
    <t>第二次
调整预算数</t>
  </si>
  <si>
    <t>栏次</t>
  </si>
  <si>
    <t>综合股（土地基金）</t>
  </si>
  <si>
    <t>区土储中心</t>
  </si>
  <si>
    <t>中信南滨片区统征地项目</t>
  </si>
  <si>
    <t>建议纳入以后年度预算安排。</t>
  </si>
  <si>
    <t>中信南滨片区非统征地项目</t>
  </si>
  <si>
    <t>河浦医院二期征地项目</t>
  </si>
  <si>
    <t>河浦中心区交通设施用地（河浦客运站）收储项目</t>
  </si>
  <si>
    <t>河浦粮库用地平整项目</t>
  </si>
  <si>
    <t>滨海工业区征地项目</t>
  </si>
  <si>
    <t>达濠客运站平整项目</t>
  </si>
  <si>
    <t>350高铁汕头南站配套用地项目（含征地和平整）</t>
  </si>
  <si>
    <t>珠浦三联工业区A01-01地块收储项目（卫伦用地）</t>
  </si>
  <si>
    <t>达濠渔港一期平整项目</t>
  </si>
  <si>
    <t>青洲盐场一期二步</t>
  </si>
  <si>
    <t>青洲盐场一、二期项目</t>
  </si>
  <si>
    <t>青洲盐场一、二期平整项目</t>
  </si>
  <si>
    <t>马滘工业园区生活配套区基础设施工程项目</t>
  </si>
  <si>
    <t>马滘工业园区生活配套区基础设施工程项目二期横一路征收项目</t>
  </si>
  <si>
    <t>茂州片区A-04-02与玉新街道北片区A-7-02土地整理开发工程</t>
  </si>
  <si>
    <t>礐石街道茂南经联社大头埔地段约4.5075亩集体用地</t>
  </si>
  <si>
    <t>广澳物流园E01地块平整项目</t>
  </si>
  <si>
    <t>礐石派出所项目用地</t>
  </si>
  <si>
    <t>储备用地巡查和管养围护费用</t>
  </si>
  <si>
    <t>青洲盐场土地收储工作协调经费</t>
  </si>
  <si>
    <t>河渡海岸边违建整改拆除专项行动经费</t>
  </si>
  <si>
    <t>汕濠办文[2020]Z2-0060号</t>
  </si>
  <si>
    <t>区南山湾办</t>
  </si>
  <si>
    <t>河浦街道河南社区尖山洋段用地征地补偿款</t>
  </si>
  <si>
    <t>收回河浦街道一工区18.366亩存量工业用地的国有建设用地使用权费用</t>
  </si>
  <si>
    <t>广澳街道</t>
  </si>
  <si>
    <t>开放公园基建前期青苗及附着物补偿</t>
  </si>
  <si>
    <t>广澳溪头工业区5宗地征地平整包干费</t>
  </si>
  <si>
    <t>备注：即广澳溪头工业区5宗地基础设施和解决用地遗留问题经费</t>
  </si>
  <si>
    <t>东湖路两侧拆违工作包干经费</t>
  </si>
  <si>
    <t>汕濠办文[2020]Z3-2010号</t>
  </si>
  <si>
    <t>茂南社区清障包干工作经费</t>
  </si>
  <si>
    <t>河浦粮所土地确权地价款</t>
  </si>
  <si>
    <t>汕濠办文[2020]Z3-0858号</t>
  </si>
  <si>
    <t>燎原社区排洪改道青苗和附着物补偿资金</t>
  </si>
  <si>
    <t>广东省汕头市濠江区茂洲片区新型城镇化综合开发PPP项目</t>
  </si>
  <si>
    <t>区人力资源社会保障局</t>
  </si>
  <si>
    <t>被征地农民养老保障金</t>
  </si>
  <si>
    <t>茂南小区综合楼桩基工程款历史遗留欠款</t>
  </si>
  <si>
    <t>征地收储小计</t>
  </si>
  <si>
    <t>南山湾产业园（一期）及连接主干道工程项目及人行天桥工程进度欠款</t>
  </si>
  <si>
    <t>汕头市滨海临港产业片区基础设施配套项目</t>
  </si>
  <si>
    <t>汕头海上风电产业园基础设施配套项目</t>
  </si>
  <si>
    <t>粤鑫公司</t>
  </si>
  <si>
    <t>疏港大道10kv澳柏线电力通道</t>
  </si>
  <si>
    <t>澳旺路、同盛路、三寮路道路建设</t>
  </si>
  <si>
    <t>滨海工业区道路建设</t>
  </si>
  <si>
    <t>滨海工业区电力通道</t>
  </si>
  <si>
    <t>滨海工业区经二路</t>
  </si>
  <si>
    <t>广澳物流园电力通道</t>
  </si>
  <si>
    <t>汕头市台商投资区（濠江片）道路及市政配套工程</t>
  </si>
  <si>
    <t>汕濠办文[2019]Z2-1499-7号，工程余款</t>
  </si>
  <si>
    <t>解决三联工业区珠浦片基础设施配套</t>
  </si>
  <si>
    <t>广澳物流园广澳路及横二路</t>
  </si>
  <si>
    <t>南山湾文旅综合体项目</t>
  </si>
  <si>
    <t>园区投入小计</t>
  </si>
  <si>
    <t>疏港大道、安海路、河中路人行道及港湾式公交站周边标识线</t>
  </si>
  <si>
    <t>区房管所</t>
  </si>
  <si>
    <t>住房保障工作经费</t>
  </si>
  <si>
    <t>教师公寓、海马池、金碧湾公寓公租房物业管理费</t>
  </si>
  <si>
    <t>公共租赁住房租金支出</t>
  </si>
  <si>
    <t>东湖金碧湾公租房后续配套设施建设费用</t>
  </si>
  <si>
    <t>公租房修缮</t>
  </si>
  <si>
    <t>区文化广电旅游体育局</t>
  </si>
  <si>
    <t>濠江区博物馆装饰装修工程</t>
  </si>
  <si>
    <t>区综合文化活动中心建设项目夹胶钢化玻璃屋面及新建冲孔板外墙装饰面工程资金</t>
  </si>
  <si>
    <t>濠江区图书馆搬迁修缮工程包干经费</t>
  </si>
  <si>
    <t>区代建中心</t>
  </si>
  <si>
    <t>汕头市濠江区亚青会基础设施及场馆改造项目（广达大道改造工程）</t>
  </si>
  <si>
    <t>汕头市濠江区亚青会基础设施及场馆改造项目（双泉公园体育馆提升改造项目及华南师范大学附属濠江实验学校9#楼体艺馆提升改造项目）</t>
  </si>
  <si>
    <t>南滨绿地公园、石林湖公园建设工程项目</t>
  </si>
  <si>
    <t>广达大道等道路公交站亭（牌）建设项目</t>
  </si>
  <si>
    <t>汕头市濠江区2019年四好农村路建设工程项目</t>
  </si>
  <si>
    <t>濠江区产城融合建设项目</t>
  </si>
  <si>
    <t>深汕高速公路达濠—河浦段路灯安装工程（其他费用）</t>
  </si>
  <si>
    <t>双泉公园改造（一期）及体育馆建设项目</t>
  </si>
  <si>
    <t>濠江区妇幼保健院门诊部建设工程</t>
  </si>
  <si>
    <t>达濠国家一级渔港建设项目</t>
  </si>
  <si>
    <t>人民医院</t>
  </si>
  <si>
    <t>汕头市濠江区人民医院旧住院楼及门诊楼改造工程项目</t>
  </si>
  <si>
    <t>河中路中段（岗背路段）绿化升级改造工程项目</t>
  </si>
  <si>
    <t>汕头市英国领事署旧址修缮工程</t>
  </si>
  <si>
    <t>会汀港排洪渠污水整治及生态修复工程</t>
  </si>
  <si>
    <t>汕头市濠江区沿江路改造升级工程</t>
  </si>
  <si>
    <t>区卫生健康局办公场地改建经费</t>
  </si>
  <si>
    <t>珠浦医院</t>
  </si>
  <si>
    <t>珠浦医院预防接种门诊标准化改造和污水处理系统建设包干经费</t>
  </si>
  <si>
    <t>区区市政所</t>
  </si>
  <si>
    <t>广澳港口至上海电气公司市政设施迁移及修复项目</t>
  </si>
  <si>
    <t>区环卫中心</t>
  </si>
  <si>
    <t>马滘垃圾压缩站建设（新建）</t>
  </si>
  <si>
    <t>生活垃圾综合处理项目经费</t>
  </si>
  <si>
    <t>濠江区数字化城市管理项目</t>
  </si>
  <si>
    <t>区劳资纠纷应急指挥（处置）中心重建经费</t>
  </si>
  <si>
    <t>濠江区磊广路（华侨中学处）人行天桥国防光缆加固维护迁改项目</t>
  </si>
  <si>
    <t>河浦大道改造工程、安海路一期工程缴纳城市基础设施配套费</t>
  </si>
  <si>
    <t>康复中心建设项目保修金</t>
  </si>
  <si>
    <t>区新城办</t>
  </si>
  <si>
    <t>南滨石林公园项目前期咨询服务</t>
  </si>
  <si>
    <t>开放公园建设</t>
  </si>
  <si>
    <t>职教中心</t>
  </si>
  <si>
    <t>新校区建设及设备购置</t>
  </si>
  <si>
    <t>濠江华附</t>
  </si>
  <si>
    <t>华附濠江实验学校开办补助经费（设备购置）</t>
  </si>
  <si>
    <t>汕头市濠江区全区污水管网完善建设PPP项目</t>
  </si>
  <si>
    <t>广东省汕头市濠江区智慧型机械式公共停车楼PPP项目</t>
  </si>
  <si>
    <t>用于智慧型机械式公共停车楼PPP项目绩效服务费等</t>
  </si>
  <si>
    <t>预留濠江湾“一江两岸”流域水环境修复及周边配套设施建设项目前期及建设费用</t>
  </si>
  <si>
    <t>农业股</t>
  </si>
  <si>
    <t>扶持村级集体经济发展试点区级配套资金</t>
  </si>
  <si>
    <t>乡村振兴战略实绩考核区级奖励资金</t>
  </si>
  <si>
    <t>河浦街道水环境综合治理工程补助资金</t>
  </si>
  <si>
    <t>濠江区大坪排洪沟河浦高级中学段改建工程</t>
  </si>
  <si>
    <t>濠江东西岸堤围达标加固工程尾款</t>
  </si>
  <si>
    <t>2021年区级涉农资金</t>
  </si>
  <si>
    <t>预留濠江“一江两岸”生态环境治理及产城融合开发建设项目前期有关费用</t>
  </si>
  <si>
    <t>三屿围海堤（濠江段）达标加固工程</t>
  </si>
  <si>
    <t>濠江区中小河流治理工程</t>
  </si>
  <si>
    <t>汕头市濠江区亚青会改造项目（华南师范大学附属濠江实验学校足球场改造项目)</t>
  </si>
  <si>
    <t>汕头市濠江区2020年“四好农村路”
建设工程</t>
  </si>
  <si>
    <t>濠江海上风电送出线路管廊工程及乐门海上风电接入系统工程西段架空线路与电缆电气部分</t>
  </si>
  <si>
    <t>濠江区普及管道燃气建设补助经费</t>
  </si>
  <si>
    <t>区供销社</t>
  </si>
  <si>
    <t>汕头市濠江区禽畜屠宰肉食品生产冷链物流基地</t>
  </si>
  <si>
    <t>非税收入缴款通知书2份（项目申请80万元前期费用，其中有54.54万元可作为非税收入）</t>
  </si>
  <si>
    <t>磊广路与振兴路交叉口交通设施升级改造工程</t>
  </si>
  <si>
    <t>基建小计</t>
  </si>
  <si>
    <t>卫生健康局</t>
  </si>
  <si>
    <t>区人民医院改扩建工程</t>
  </si>
  <si>
    <t>偿还YX清零</t>
  </si>
  <si>
    <t>达濠华侨中学学生宿舍楼及配套建设</t>
  </si>
  <si>
    <t>濠江区五南沟片区内涝整治工程</t>
  </si>
  <si>
    <t>三路一桥</t>
  </si>
  <si>
    <t>一路一桥</t>
  </si>
  <si>
    <t>党群中心基建及采购固定资产</t>
  </si>
  <si>
    <t>新办公楼搬迁修缮</t>
  </si>
  <si>
    <t>濠江区东湖东路和周边基础设施及东湖西路污水管网建设项目</t>
  </si>
  <si>
    <t>濠江区改善乡村人居环境综合建设项目（雪亮工程）</t>
  </si>
  <si>
    <t>汕汕铁路增设汕头南站项目建设资金</t>
  </si>
  <si>
    <t>河浦街道改善乡村人居环境综合建设项目</t>
  </si>
  <si>
    <t>礐石街道改善乡村人居环境综合建设项目</t>
  </si>
  <si>
    <t>广澳街道改善乡村人居环境综合建设项目</t>
  </si>
  <si>
    <t>达濠街道改善乡村人居环境综合建设项目</t>
  </si>
  <si>
    <t>国有资产投入小计</t>
  </si>
  <si>
    <t>基本农田保护经济补偿区级补助资金</t>
  </si>
  <si>
    <t>预留公共租赁住房经费</t>
  </si>
  <si>
    <t>农村保洁员工资待遇保障补助资金区级配套</t>
  </si>
  <si>
    <t>滨海街道</t>
  </si>
  <si>
    <t>国有土地使用权出让金债务还本支出</t>
  </si>
  <si>
    <t>国有土地使用权出让金债务付息支出</t>
  </si>
  <si>
    <t>土地储备专项债券付息支出</t>
  </si>
  <si>
    <t>其他地方自行试点项目收益专项债券付息支出</t>
  </si>
  <si>
    <t>国有土地使用权出让金债务发行及服务费</t>
  </si>
  <si>
    <t>土地储备专项债券发行及服务费</t>
  </si>
  <si>
    <t>专项债券发行及服务费</t>
  </si>
  <si>
    <t>调增新增债券发行费用</t>
  </si>
  <si>
    <t>2020年汕头市产业转移工业园濠江片区土地集约利用监测</t>
  </si>
  <si>
    <t>2019年汕头市产业转移工业园濠江片区土地集约利用监测</t>
  </si>
  <si>
    <t>档案整理归档、律师服务、设备维护、购置办公设备等</t>
  </si>
  <si>
    <t>基层自然资源管理系统建设管理</t>
  </si>
  <si>
    <t>2020年度汕头市濠江区河浦街道肚桥、楼下、河北、河南居委会现有耕地提质改造项目</t>
  </si>
  <si>
    <t>水田耕作层剥离再利用年度实施方案编制工作</t>
  </si>
  <si>
    <t>永久基本农田标志牌界桩维护设置工作经费</t>
  </si>
  <si>
    <t>汕头市濠江区农村建设用地拆旧复垦项目</t>
  </si>
  <si>
    <t>耕地后备资源潜力库建设工作</t>
  </si>
  <si>
    <t>关于国道G228线汕头段虎头山隧道及南延工程项目涉及土地利用总体规划修改方案（含永久基本农田补划方案）和实地踏勘论证报告编制工作</t>
  </si>
  <si>
    <t>濠江区滨海临港产业平台土地规划修改方案</t>
  </si>
  <si>
    <t>农村地籍调查项目</t>
  </si>
  <si>
    <t>第三次全国土地调查</t>
  </si>
  <si>
    <t>汕头市濠江区“房地一体”农村宅基地和集体建设用地确权登记发证</t>
  </si>
  <si>
    <t>年度土地变更调查</t>
  </si>
  <si>
    <t>不动产登记业务经费</t>
  </si>
  <si>
    <t>登记辅助性服务外包</t>
  </si>
  <si>
    <t>汕头市濠江区不动产登记“双提升”及“互联网+登记”技术服务</t>
  </si>
  <si>
    <t>汕自然资通[2019]756号</t>
  </si>
  <si>
    <t>不动产登记中心智能化档案室建设项目</t>
  </si>
  <si>
    <t>土地出让业务费用</t>
  </si>
  <si>
    <t>缴纳国有土地使用权出让合同印花税</t>
  </si>
  <si>
    <t>推进工业园区、街道辖区低效产业用地再利用项目费用</t>
  </si>
  <si>
    <t>执法监督经费</t>
  </si>
  <si>
    <t>濠江区农村占用耕地建房摸排工作数据处理及外业核查服务</t>
  </si>
  <si>
    <t>自然资源管理业务工作专项服务</t>
  </si>
  <si>
    <t>其他业务工作委托业务费</t>
  </si>
  <si>
    <t>全民所有自然资源资产清查经费</t>
  </si>
  <si>
    <t>储备用地围挡费用</t>
  </si>
  <si>
    <t>土地储备项目前期经费支出</t>
  </si>
  <si>
    <t>聘请法律顾问经费支出</t>
  </si>
  <si>
    <t>土地储备业务费补充经费</t>
  </si>
  <si>
    <t>后勤管理服务支出</t>
  </si>
  <si>
    <t>其他土地储备办公经费支出</t>
  </si>
  <si>
    <t>购买服务支出</t>
  </si>
  <si>
    <t>濠江区磊广路（珠浦工业区）人行天桥国防光缆加固维护迁改工程</t>
  </si>
  <si>
    <t>其他小计</t>
  </si>
  <si>
    <t>预留土地收储平整资金</t>
  </si>
  <si>
    <t>国资预留经费</t>
  </si>
  <si>
    <t>预留建设前期及其他经费</t>
  </si>
  <si>
    <t>预留土地基金相关项目资金小计</t>
  </si>
  <si>
    <t>2019年4月至2020年6月代垫付园区路灯灯费</t>
  </si>
  <si>
    <t>市政设施路灯电费</t>
  </si>
  <si>
    <t>疏港大道助航标志养护经费</t>
  </si>
  <si>
    <t>排水设施管养及内涝布防抢险项目</t>
  </si>
  <si>
    <t>市政设施购买服务管养维护经费</t>
  </si>
  <si>
    <t>濠江区道路环卫作业市场化管理采购项目</t>
  </si>
  <si>
    <t>濠江区园区道路环卫作业市场化管理采购项目</t>
  </si>
  <si>
    <t>全区生活垃圾前端转运项目</t>
  </si>
  <si>
    <t>全区生活垃圾后端转运项目</t>
  </si>
  <si>
    <t>公厕管理项目</t>
  </si>
  <si>
    <t>环卫作业市场化管理经费（主次干道清扫保洁项目）</t>
  </si>
  <si>
    <t>南山湾绿道沙滩管养经费</t>
  </si>
  <si>
    <t>汕头市国土空间总体规划濠江区发展规划大纲（2020-2035年）</t>
  </si>
  <si>
    <t>中信滨海新城南滨片区控制性详细规划西片区修编</t>
  </si>
  <si>
    <t>汕头市濠江区“一江两岸”城市设计整合优化及开发建设行动计划</t>
  </si>
  <si>
    <t>规划管理工作经费</t>
  </si>
  <si>
    <t>汕头海湾高尔夫球场区控制性详细规划（修编）</t>
  </si>
  <si>
    <t>汕头市濠江区马滘雨伞塭片区控制性详细规划修编（HJ-025编制单元北片区）</t>
  </si>
  <si>
    <t>汕头市广澳物流园北片区控制性详细规划修编（HJ-03003控制单元北片区）</t>
  </si>
  <si>
    <t>濠江区河浦居住片区控制性详细规划修编</t>
  </si>
  <si>
    <t>预留城市基础设施配套费</t>
  </si>
  <si>
    <t>汕汕铁路汕头段征地拆迁不可预见费</t>
  </si>
  <si>
    <t>结转下年使用</t>
  </si>
  <si>
    <t>二、城市基础设施配套费支出（市政路灯管养、保洁、规划编制项目）合计</t>
  </si>
  <si>
    <t>残疾人医疗康复救助基金区级配套</t>
  </si>
  <si>
    <t>养老服务体系项目</t>
  </si>
  <si>
    <t>医保分局</t>
  </si>
  <si>
    <t>城乡医疗救助项目</t>
  </si>
  <si>
    <t>三、彩票公益金支出合计</t>
  </si>
  <si>
    <t>四、专项债券安排支出合计</t>
  </si>
  <si>
    <t>滨海产业园和海上风电产业园资金结转下年使用</t>
  </si>
  <si>
    <t>政府性基金支出合计</t>
  </si>
  <si>
    <t>调入公共财政预算统筹安排</t>
  </si>
  <si>
    <t>总   计</t>
  </si>
  <si>
    <t>附表9</t>
  </si>
  <si>
    <t>汕头市濠江区2021年国有资本经营预算收入计划调整表</t>
  </si>
  <si>
    <t>第二次预算数</t>
  </si>
  <si>
    <t>一、利润收入</t>
  </si>
  <si>
    <t xml:space="preserve">  运输企业利润收入</t>
  </si>
  <si>
    <t xml:space="preserve">  电子企业利润收入</t>
  </si>
  <si>
    <t xml:space="preserve">  贸易企业利润收入</t>
  </si>
  <si>
    <t xml:space="preserve">  建筑施工企业利润收入</t>
  </si>
  <si>
    <t xml:space="preserve">  其他国有资本经营预算企业利润收入</t>
  </si>
  <si>
    <t>二、股利、股息收入</t>
  </si>
  <si>
    <t>三、产权转让收入</t>
  </si>
  <si>
    <t>四、清算收入</t>
  </si>
  <si>
    <t>五、其他国有资本经营预算收入</t>
  </si>
  <si>
    <t>本年收入合计</t>
  </si>
  <si>
    <t>一、上级专项性补助收入</t>
  </si>
  <si>
    <t>二、上年结转收入</t>
  </si>
  <si>
    <t xml:space="preserve">   其中：净结余</t>
  </si>
  <si>
    <t xml:space="preserve">       项目结转</t>
  </si>
  <si>
    <t>收入总计</t>
  </si>
  <si>
    <t>附表10</t>
  </si>
  <si>
    <t>汕头市濠江区2021年国有资本经营预算支出计划调整表</t>
  </si>
  <si>
    <t>科目代码</t>
  </si>
  <si>
    <t>科目名称</t>
  </si>
  <si>
    <t>2021年第二次预算数</t>
  </si>
  <si>
    <t>政策性
调整</t>
  </si>
  <si>
    <t>解决历史遗留问题及改革成本支出</t>
  </si>
  <si>
    <t xml:space="preserve">   国有企业办职教幼教补助支出</t>
  </si>
  <si>
    <t xml:space="preserve">   国有企业改革成本支出</t>
  </si>
  <si>
    <t xml:space="preserve">   国有企业退休人员社会化管理补助支出</t>
  </si>
  <si>
    <t xml:space="preserve">   其他解决历史遗留问题及改革成本支出</t>
  </si>
  <si>
    <t>国有企业资本金注入</t>
  </si>
  <si>
    <t xml:space="preserve">   其他国有企业资本金注入</t>
  </si>
  <si>
    <t>国有企业政策性补贴</t>
  </si>
  <si>
    <t xml:space="preserve">   国有企业政策性补贴</t>
  </si>
  <si>
    <t>其他国有资本经营预算支出</t>
  </si>
  <si>
    <t xml:space="preserve">   其他国有资本经营预算支出</t>
  </si>
  <si>
    <t>本年支出合计</t>
  </si>
  <si>
    <t>国有资本经营预算调出资金</t>
  </si>
  <si>
    <t>净结余</t>
  </si>
  <si>
    <t>支出总计</t>
  </si>
  <si>
    <t>附表11</t>
  </si>
  <si>
    <t>汕头市濠江区2021年社会保险基金预算收入计划调整表</t>
  </si>
  <si>
    <t>年初数（隐藏）</t>
  </si>
  <si>
    <t>截止11月执行数</t>
  </si>
  <si>
    <t>一、社会保险基金预算收入</t>
  </si>
  <si>
    <t xml:space="preserve">     城乡居民基本养老保险基金收入</t>
  </si>
  <si>
    <t xml:space="preserve">       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</si>
  <si>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</si>
  <si>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</si>
  <si>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</si>
  <si>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</si>
  <si>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</si>
  <si>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城乡居民基本养老保险基金其他收入</t>
  </si>
  <si>
    <t xml:space="preserve">    机关事业单位基本养老保险基金收入</t>
  </si>
  <si>
    <t xml:space="preserve">       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</si>
  <si>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</si>
  <si>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</si>
  <si>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机关事业单位基本养老保险基金转移收入</t>
  </si>
  <si>
    <t xml:space="preserve">       机关事业单位基本养老保险基金其他收入</t>
  </si>
  <si>
    <t xml:space="preserve">     上年结余收入</t>
  </si>
  <si>
    <t>根据汕市财社函〔2021〕64号，省要求将我区城乡居民养老基金委托投资收益2019年调减16283.76元，确认2020年委托投资收益1797431.43元，在2020年社保基金决算中反映，故该数据体现在上年结余中。</t>
  </si>
  <si>
    <t xml:space="preserve">         城乡居民养老保险上年结余收入</t>
  </si>
  <si>
    <t xml:space="preserve">         机关事业单位基本养老保险上年结余收入</t>
  </si>
  <si>
    <t xml:space="preserve">     城乡居民基本养老保险基金上级补助收入</t>
  </si>
  <si>
    <t xml:space="preserve">     机关事业单位基本养老保险基金上级补助收入</t>
  </si>
  <si>
    <t>社会保险基金预算收入</t>
  </si>
  <si>
    <t>附表12</t>
  </si>
  <si>
    <t>2021年社会保险基金预算支出计划调整表</t>
  </si>
  <si>
    <t>年初预算数（隐藏，年初数）</t>
  </si>
  <si>
    <t>11月执行数</t>
  </si>
  <si>
    <t>209</t>
  </si>
  <si>
    <t>社会保险基金预算支出</t>
  </si>
  <si>
    <t>20910</t>
  </si>
  <si>
    <t xml:space="preserve">   城乡居民基本养老保险基金支出</t>
  </si>
  <si>
    <t>2091001</t>
  </si>
  <si>
    <t xml:space="preserve">       基础养老金支出</t>
  </si>
  <si>
    <t>2091002</t>
  </si>
  <si>
    <t xml:space="preserve">       个人账户养老金支出</t>
  </si>
  <si>
    <t xml:space="preserve">       丧葬抚恤补贴支出</t>
  </si>
  <si>
    <t xml:space="preserve">       转移支出</t>
  </si>
  <si>
    <t xml:space="preserve">       其他支出</t>
  </si>
  <si>
    <t xml:space="preserve">   机关事业单位基本养老保险基金支出</t>
  </si>
  <si>
    <t xml:space="preserve">       基本养老金支出</t>
  </si>
  <si>
    <t xml:space="preserve">   城乡居民基本养老保险基金上解上级支出</t>
  </si>
  <si>
    <t xml:space="preserve">   机关事业单位基本养老保险基金上解上级支出</t>
  </si>
  <si>
    <t xml:space="preserve">   社会保险基金预算年终结余</t>
  </si>
  <si>
    <t xml:space="preserve">       城乡养老保险年终结余</t>
  </si>
  <si>
    <t xml:space="preserve">       机关养老保险年终结余</t>
  </si>
  <si>
    <t>社会保险基金预算支出合计</t>
  </si>
  <si>
    <t>附表13</t>
  </si>
  <si>
    <t>汕头市濠江区2021年新增债券资金分配表</t>
  </si>
  <si>
    <t>项目单位</t>
  </si>
  <si>
    <t>其中：</t>
  </si>
  <si>
    <t>4月发行</t>
  </si>
  <si>
    <t>6月发行</t>
  </si>
  <si>
    <t>8月发行</t>
  </si>
  <si>
    <t>10月发行</t>
  </si>
  <si>
    <t>11月发行</t>
  </si>
  <si>
    <t>债券名称</t>
  </si>
  <si>
    <t>金额</t>
  </si>
  <si>
    <t>（一）一般债券小计（2个）</t>
  </si>
  <si>
    <t>汕头市濠江区农业农村和水务局</t>
  </si>
  <si>
    <t>汕头市濠江区城乡雨污分流升级改造项目</t>
  </si>
  <si>
    <t>2021年广东省政府一般债券（四期）</t>
  </si>
  <si>
    <t>2021年广东省政府一般债券（八期）</t>
  </si>
  <si>
    <t>汕头市濠江区乡村振兴战略发展中心</t>
  </si>
  <si>
    <t>濠江区乡村振兴示范片项目</t>
  </si>
  <si>
    <t>2021年广东省政府一般债券（七期）</t>
  </si>
  <si>
    <t>（二）专项债券小计（11个）</t>
  </si>
  <si>
    <t>汕头市濠江区人民政府礐石街道办事处</t>
  </si>
  <si>
    <t>濠江区迎亚青会礐石大桥南岸片区及南滨基础设施改造项目</t>
  </si>
  <si>
    <t>2021年广东省市政和产业园区基础设施专项债券（三期）--2021年广东省政府专项债券（二十二期）</t>
  </si>
  <si>
    <t>2021年广东省市政和产业园区基础设施专项债券（六期）--2021年广东省政府专项债券（四十九期）</t>
  </si>
  <si>
    <t>2021年广东省政府专项债券（六十八期）</t>
  </si>
  <si>
    <t>2021年广东省政府专项债券（七十六期）</t>
  </si>
  <si>
    <t>汕头市濠江区人民政府广澳街道办事处</t>
  </si>
  <si>
    <t>广澳后江乡镇渔港建设项目</t>
  </si>
  <si>
    <t>2021年广东省农林水利专项债券（二期）--2021年广东省政府专项债券（十期）</t>
  </si>
  <si>
    <t>2021年广东省农林水利专项债券（五期）--2021年广东省政府专项债券（三十七期）</t>
  </si>
  <si>
    <t>汕头市南山湾科技产业园区开发建设办公室</t>
  </si>
  <si>
    <t>汕头市濠江区住房和城乡建设局</t>
  </si>
  <si>
    <t>2021年广东省政府专项债券（六十七期）</t>
  </si>
  <si>
    <t>濠江湾“一江两岸”流域水环境修复及周边配套设施建设项目</t>
  </si>
  <si>
    <t>2021年广东省政府专项债券（六十四期）</t>
  </si>
  <si>
    <t>2021年广东省政府专项债券（八十五期）</t>
  </si>
  <si>
    <t>汕头市濠江区建设工程代建中心</t>
  </si>
  <si>
    <t>2021年广东省政府专项债券（六十六期）</t>
  </si>
  <si>
    <t>2021年广东省政府专项债券（七十五期）</t>
  </si>
  <si>
    <t>汕头市南山湾产业园基础设施及连接主干道（一期）</t>
  </si>
  <si>
    <t>2021年广东省政府专项债券（七十四期）</t>
  </si>
  <si>
    <t>汕头市濠江区人民政府达濠街道办事处</t>
  </si>
  <si>
    <t>汕头市濠江区会汀港排洪渠污水整治及生态修复工程</t>
  </si>
  <si>
    <t>汕头市濠江区水利与渔港建设管养中心</t>
  </si>
  <si>
    <t>汕头市后江湾海堤修复加固工程</t>
  </si>
  <si>
    <t>汕头市濠江区供销合作社</t>
  </si>
  <si>
    <t>附表14</t>
  </si>
  <si>
    <t>2021年收回存量资金及安排表</t>
  </si>
  <si>
    <t>收回存量资金收入合计</t>
  </si>
  <si>
    <t>各单位</t>
  </si>
  <si>
    <t>9-12月各单位缴回存量资金</t>
  </si>
  <si>
    <t>2020年存量重安排资金使用结余</t>
  </si>
  <si>
    <t>区住房城乡建设局等</t>
  </si>
  <si>
    <t>城建投集团YX清零收回存量</t>
  </si>
  <si>
    <t>退回区工业和信息化局错缴履约保证金</t>
  </si>
  <si>
    <t>第二次预算调整安排</t>
  </si>
  <si>
    <t>汕头市濠江区城市建设投资集团有限公司注册资本金</t>
  </si>
  <si>
    <t>市拨入资金</t>
  </si>
  <si>
    <t>收回归垫上缴债券存量资金</t>
  </si>
  <si>
    <t>2020年已由本级财政资金上缴</t>
  </si>
  <si>
    <t>收回2019-2020年部门结转结余资金</t>
  </si>
  <si>
    <r>
      <rPr>
        <sz val="11"/>
        <color indexed="8"/>
        <rFont val="宋体"/>
        <charset val="134"/>
        <scheme val="minor"/>
      </rPr>
      <t>主要是2</t>
    </r>
    <r>
      <rPr>
        <sz val="11"/>
        <rFont val="宋体"/>
        <charset val="134"/>
      </rPr>
      <t>020年上级专项资金</t>
    </r>
  </si>
  <si>
    <t>安排存量资金支出合计</t>
  </si>
  <si>
    <t>前澳埠村搬迁补偿项目</t>
  </si>
  <si>
    <t>置换被市收回资金</t>
  </si>
  <si>
    <t>上级转移支付资金重安排</t>
  </si>
  <si>
    <t>详见附表14-1</t>
  </si>
  <si>
    <t>因库款原因部门申请支出但年终被调减</t>
  </si>
  <si>
    <t>详见附表14-2</t>
  </si>
  <si>
    <t>附表14-1</t>
  </si>
  <si>
    <t>部门结转结余及重安排项目明细表</t>
  </si>
  <si>
    <t>归口科处室</t>
  </si>
  <si>
    <t>预算单位</t>
  </si>
  <si>
    <t>预算项目</t>
  </si>
  <si>
    <t>截至2021年底
余额</t>
  </si>
  <si>
    <t>存量资金
重安排金额</t>
  </si>
  <si>
    <t>社区基层组织运转经费</t>
  </si>
  <si>
    <t>2020年度选调生到村任职中央财政补助资金</t>
  </si>
  <si>
    <t>广澳街道1.2万元、礐石街道2.1871万元、马滘街道1.2万元、河浦街道1.2万元、玉新街道3.6万元、滨海街道0.6万元</t>
  </si>
  <si>
    <t>农村保洁员工资待遇保障补助区级配套资金</t>
  </si>
  <si>
    <t>达濠街道53.614457万元、礐石街道109.606万元、河浦街道5.559345万元、玉新街道8.73073万元、滨海街道8.935411万元</t>
  </si>
  <si>
    <t>2020年农村财务活动实时监管体系试点建设资金（第二批）</t>
  </si>
  <si>
    <t>保洁员工资待遇保障补助市级配套资金</t>
  </si>
  <si>
    <t>社区办公经费（市级）</t>
  </si>
  <si>
    <t>2020年省级乡村振兴农村人居环境整治资金（一般债券）</t>
  </si>
  <si>
    <t>创文经费</t>
  </si>
  <si>
    <t>档案馆日常经费</t>
  </si>
  <si>
    <t>区机关集体宿舍保洁服务费</t>
  </si>
  <si>
    <t>招商引资项目工作经费</t>
  </si>
  <si>
    <t>2020年“两新”组织党建保障经费</t>
  </si>
  <si>
    <t>“学习强国”学习平台专项工作</t>
  </si>
  <si>
    <t>新时代文明实践中心建设经费</t>
  </si>
  <si>
    <t>提前下达2020年省文化繁荣发展专项资金</t>
  </si>
  <si>
    <t>2020年省文化繁荣发展专项资金（宣传口，第三、四批）</t>
  </si>
  <si>
    <t>志愿服务活动经费</t>
  </si>
  <si>
    <t>2020年教育发展专项资金（推进教育现代化及农村义务教育寄宿制学校建设用途）校园足球资金</t>
  </si>
  <si>
    <t>2020年及清算2019年义务教育阶段残疾学生公用经费</t>
  </si>
  <si>
    <t>2020年义务教育阶段残疾学生公用经费市级补助资金</t>
  </si>
  <si>
    <t>2020年市教师学历提升专项资金</t>
  </si>
  <si>
    <t>城乡义务教育生均公用经费</t>
  </si>
  <si>
    <t>市人才发展专项—教育名师工作经费</t>
  </si>
  <si>
    <t>免除建档立卡等家庭经济困难学生学杂费</t>
  </si>
  <si>
    <t>追加下达2019年秋季学期义务教育家庭经济困难学生生活费补助资金</t>
  </si>
  <si>
    <t>清算下达2016-2019年市教师学历提升专项资金</t>
  </si>
  <si>
    <t>2020年教育发展专项（强师工程-教师省级研修培训和教师专业能力提升-中小学教师教育科研能力提升计划）</t>
  </si>
  <si>
    <t>农村家庭经济困难非寄宿生生活费补助</t>
  </si>
  <si>
    <t>学校周边交通标志标线项目资金</t>
  </si>
  <si>
    <t>2020年教育发展专项（强师工程-市县教师队伍建设）</t>
  </si>
  <si>
    <t>追加下达2020年普通高中免学费补助和国家助学金</t>
  </si>
  <si>
    <t>2020年广东省普通高中残疾学生免学费</t>
  </si>
  <si>
    <t>2020年教育发展专项资金（支持民办教育发展）</t>
  </si>
  <si>
    <t>2020年中小学校舍维修改造长效机制市级专项补助资金</t>
  </si>
  <si>
    <t>2020年学前教育发展市级专项补助资金</t>
  </si>
  <si>
    <t>汕头市达濠华侨中学</t>
  </si>
  <si>
    <t>提前下达2020年全省公办普通高中生均公用经费补助资金</t>
  </si>
  <si>
    <t>义务教育阶段特殊教育学校和随班就读残疾学生生均公用经费</t>
  </si>
  <si>
    <t>汕头市达濠第二中学</t>
  </si>
  <si>
    <t>汕头市玉新中学</t>
  </si>
  <si>
    <t>汕头市三河中学</t>
  </si>
  <si>
    <t>提前下达2020年省级农村财务管理工作经费</t>
  </si>
  <si>
    <t>全区财政人员培训</t>
  </si>
  <si>
    <t>提前下达2020年市级涉农专项转移支付资金</t>
  </si>
  <si>
    <t>2020年省住房城乡建设厅打好污染防治攻坚战专项资金</t>
  </si>
  <si>
    <t>2020年区域协调发展战略专项（普通公路水路建设）资金（第二批）</t>
  </si>
  <si>
    <t>2020年市级生活垃圾分类专项资金</t>
  </si>
  <si>
    <t>依法治区工作经费</t>
  </si>
  <si>
    <t>委员视察经费</t>
  </si>
  <si>
    <t>2020年市级科技创新战略（专利申请（授权）资助）专项资金</t>
  </si>
  <si>
    <t>提前下达2020年省促进经济高质量发展（知识产权创造保护运用及专利奖励）专项资金</t>
  </si>
  <si>
    <t>濠江区博物馆陈列布展项目</t>
  </si>
  <si>
    <t>2020年文化繁荣发展专项资金（省文化和旅游厅负责部分，第五批）</t>
  </si>
  <si>
    <t>综合文化站奖补资金</t>
  </si>
  <si>
    <t>区政务服务数据管理局</t>
  </si>
  <si>
    <t>禁毒工作经费</t>
  </si>
  <si>
    <t>智能执法办案中心及办案区建设经费</t>
  </si>
  <si>
    <t>区县公安分局派出所业务办案、装备建设、修缮改造及社区警务等补助经费</t>
  </si>
  <si>
    <t>区企投中心</t>
  </si>
  <si>
    <t>2020年度替代原汽车、替代原摩托车养路费地养切块资金</t>
  </si>
  <si>
    <t>2020年“四好农村路”省级补助资金</t>
  </si>
  <si>
    <t>2020年市级涉农专项转移支付资金（新增下达市级“百村示范、千村整治”美丽乡村建设和乡村振兴示范片建设补助资金）</t>
  </si>
  <si>
    <t>2020年汕头市传统村落保护专项补助资金</t>
  </si>
  <si>
    <t>农村公路路网改善工程</t>
  </si>
  <si>
    <t>汕头市“厕所革命”2018年-2019年清算部分和2020年新（改）建公厕奖补资金</t>
  </si>
  <si>
    <t>2020年中央财政农村综合改革转移支付（农村公益事业财政奖补）资金</t>
  </si>
  <si>
    <t>2020年河长制市级财政奖补资金</t>
  </si>
  <si>
    <t>农村生活污水治理暨“源头截污、雨污分流”市级奖补资金（第四批）</t>
  </si>
  <si>
    <t>2020年生猪规模养殖场建设补助项目资金</t>
  </si>
  <si>
    <t>提前下达2020年中央财政农财厕所革命奖补资金</t>
  </si>
  <si>
    <t>取消渔船管理经费</t>
  </si>
  <si>
    <t>2020年渔业成品油价格改革补助资金</t>
  </si>
  <si>
    <t>2020年小型水库安全治理省级补助资金</t>
  </si>
  <si>
    <t>2020年中央财政农业资源及生态保护补助资金（第6批）</t>
  </si>
  <si>
    <t>2020年农业资源及生态保护补助资金-化肥减量增效</t>
  </si>
  <si>
    <t>提前下达2020年省级涉农专项转移支付资金</t>
  </si>
  <si>
    <t>区水利与渔港建设管养中心</t>
  </si>
  <si>
    <t>2020年省级促进就业创业发展专项资金（创业担保贷款-贴息和奖补） 社（20）47号</t>
  </si>
  <si>
    <t>2020年度技工院校建档立卡贫困家庭学生生活费市级补助资金 社（20）111号</t>
  </si>
  <si>
    <t>婚姻登记档案移交经费</t>
  </si>
  <si>
    <t>殡葬管理、殡改宣传工作经费</t>
  </si>
  <si>
    <t>2020年省财政养老服务体系建设项目资金（第二批） 社（20）189号</t>
  </si>
  <si>
    <t>2020年省级退役军人全员适应性培训经费 社（20）52号</t>
  </si>
  <si>
    <t>提前下达2020年大学毕业生入伍补助 社（19）216号</t>
  </si>
  <si>
    <t>（SM）2019年中央财政退役士兵教育培训资金（第四批）  社（20）249号</t>
  </si>
  <si>
    <t>（SM）提前下达省财政2020年中央退役安置补助经费（第一批）（管理机构经费） 社（19）202号</t>
  </si>
  <si>
    <t>（SM）2019年中央财政军队转业干部经费（第二、三批） 社（20）19号</t>
  </si>
  <si>
    <t>2020年第三批中央财政补助基本公共卫生服务资金 社（20）119号</t>
  </si>
  <si>
    <t>2020年汕头市预防接种和疫苗管理工作市级财政补助配套经费（疾病机构冷链设备建设和预防接种门诊标准化建设项目） 社（20）95号</t>
  </si>
  <si>
    <t>2020年省级医疗卫生健康事业发展专项资金（第二批）（精准扶贫村妇女两癌免费检查） 社（20）41号</t>
  </si>
  <si>
    <t>2020年第二批基本公共卫生服务省级补助资金 社（20）139号</t>
  </si>
  <si>
    <t>2020年第四批中央财政补助基本公共卫生服务资金 社（20）216号</t>
  </si>
  <si>
    <t>2019年预防接种安全体系能力建设省级补助资金（门诊标准化建设-扫码设备配置） 社（19）217号</t>
  </si>
  <si>
    <t>2019年市级配套计划生育技术服务经费 社（20）103号</t>
  </si>
  <si>
    <t>2019年预防接种安全体系能力建设省级补助资金（疾控机构冷链设备建设） 社（19）217号</t>
  </si>
  <si>
    <t>2020年基层医疗卫生机构设备配置更新建设补助资金 社（20）212号</t>
  </si>
  <si>
    <t>2020年中央财政补助基本公共卫生服务资金（第二批）社（20）27号</t>
  </si>
  <si>
    <t>2020年省级预防接种安全体系能力建设项目剩余资金 社（20）165号</t>
  </si>
  <si>
    <t>提前下达2020年度村（居）计划生育专职人员市级补助经费 社（19）223号</t>
  </si>
  <si>
    <t>2018年和2019年度残疾人就业保障金及年审工作经费 社（20）54号</t>
  </si>
  <si>
    <t>社区康园中心“提质升级”项目市级补助资金 社（20）204号</t>
  </si>
  <si>
    <t>2020年重大传染病防控中央财政补助资金 社（19）239号</t>
  </si>
  <si>
    <t>区疾控中心</t>
  </si>
  <si>
    <t>2020年中央财政医疗服务与保障能力提升（医疗卫生机构能力建设）补助资金-职业病防治能力提升 社（20）172号</t>
  </si>
  <si>
    <t>2020年省级医疗卫生健康事业发展专项资金（第二批）-疫病防控专项资金 社（19）238号</t>
  </si>
  <si>
    <t>2020年中央财政补助重大传染病防控项目资金 社（20）207号</t>
  </si>
  <si>
    <t>区人民医院</t>
  </si>
  <si>
    <t>区珠浦医院</t>
  </si>
  <si>
    <t>附表14-2</t>
  </si>
  <si>
    <t>年终调减项目使用存量资金安排表</t>
  </si>
  <si>
    <t>单位需求数</t>
  </si>
  <si>
    <t>财政建议金额</t>
  </si>
  <si>
    <t>项目支出小计</t>
  </si>
  <si>
    <t>使用2022年预算预留资金或涉农资金等</t>
  </si>
  <si>
    <t>不足使用2022年预算预留资金或涉农资金等</t>
  </si>
  <si>
    <t>差额在2022年预算中考虑安排</t>
  </si>
  <si>
    <t>医保基金负担新冠病毒疫苗及接种费用补助-区级财政（职工基本医疗保险）</t>
  </si>
  <si>
    <t>需安排635.89万元，建议先安排200万元，不足部份还确需安排的待以后收回存量中考虑</t>
  </si>
  <si>
    <t>需安排3254万元，建议先安排800万元，不足部份还确需安排的待以后收回存量中考虑</t>
  </si>
  <si>
    <t>珠浦第二小学</t>
  </si>
  <si>
    <t>需安排966万元，建议先安排100万元，不足部份还确需安排的待以后收回存量中考虑</t>
  </si>
  <si>
    <t>需安排390万元，建议先安排100万元，不足部份还确需安排的待以后收回存量中考虑</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</si>
</sst>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0_ "/>
    <numFmt numFmtId="178" formatCode="0.00_ "/>
    <numFmt numFmtId="179" formatCode="0.000000_ "/>
    <numFmt numFmtId="180" formatCode="0.00_);[Red]\(0.00\)"/>
    <numFmt numFmtId="181" formatCode="yyyy/mm/dd"/>
    <numFmt numFmtId="182" formatCode="00000"/>
    <numFmt numFmtId="183" formatCode="#,##0_ "/>
    <numFmt numFmtId="184" formatCode="0_);[Red]\(0\)"/>
  </numFmts>
  <fonts count="64">
    <font>
      <sz val="12"/>
      <name val="宋体"/>
      <charset val="134"/>
    </font>
    <font>
      <sz val="10"/>
      <name val="宋体"/>
      <charset val="134"/>
      <scheme val="minor"/>
    </font>
    <font>
      <sz val="11"/>
      <name val="宋体"/>
      <charset val="134"/>
    </font>
    <font>
      <b/>
      <sz val="20"/>
      <name val="宋体"/>
      <charset val="134"/>
    </font>
    <font>
      <b/>
      <sz val="11"/>
      <name val="宋体"/>
      <charset val="134"/>
    </font>
    <font>
      <b/>
      <sz val="11"/>
      <color theme="1"/>
      <name val="宋体"/>
      <charset val="134"/>
    </font>
    <font>
      <b/>
      <sz val="10"/>
      <name val="宋体"/>
      <charset val="134"/>
      <scheme val="minor"/>
    </font>
    <font>
      <sz val="10"/>
      <color theme="1"/>
      <name val="宋体"/>
      <charset val="134"/>
      <scheme val="minor"/>
    </font>
    <font>
      <sz val="11"/>
      <name val="宋体"/>
      <charset val="134"/>
      <scheme val="minor"/>
    </font>
    <font>
      <b/>
      <sz val="20"/>
      <name val="宋体"/>
      <charset val="134"/>
      <scheme val="minor"/>
    </font>
    <font>
      <b/>
      <sz val="10"/>
      <color rgb="FFFF0000"/>
      <name val="宋体"/>
      <charset val="134"/>
      <scheme val="minor"/>
    </font>
    <font>
      <sz val="10"/>
      <color rgb="FFFF0000"/>
      <name val="宋体"/>
      <charset val="134"/>
      <scheme val="minor"/>
    </font>
    <font>
      <b/>
      <sz val="11"/>
      <name val="宋体"/>
      <charset val="134"/>
      <scheme val="minor"/>
    </font>
    <font>
      <sz val="11"/>
      <color indexed="8"/>
      <name val="宋体"/>
      <charset val="134"/>
      <scheme val="minor"/>
    </font>
    <font>
      <b/>
      <sz val="20"/>
      <color indexed="8"/>
      <name val="宋体"/>
      <charset val="134"/>
      <scheme val="minor"/>
    </font>
    <font>
      <b/>
      <sz val="11"/>
      <color indexed="8"/>
      <name val="宋体"/>
      <charset val="134"/>
      <scheme val="minor"/>
    </font>
    <font>
      <sz val="20"/>
      <color theme="1"/>
      <name val="宋体"/>
      <charset val="134"/>
      <scheme val="major"/>
    </font>
    <font>
      <b/>
      <sz val="11"/>
      <color theme="1"/>
      <name val="宋体"/>
      <charset val="134"/>
      <scheme val="minor"/>
    </font>
    <font>
      <b/>
      <sz val="16"/>
      <color theme="1"/>
      <name val="宋体"/>
      <charset val="134"/>
      <scheme val="minor"/>
    </font>
    <font>
      <sz val="12"/>
      <color theme="1"/>
      <name val="宋体"/>
      <charset val="134"/>
      <scheme val="minor"/>
    </font>
    <font>
      <sz val="11"/>
      <color theme="1"/>
      <name val="宋体"/>
      <charset val="134"/>
      <scheme val="minor"/>
    </font>
    <font>
      <b/>
      <sz val="20"/>
      <color theme="1"/>
      <name val="宋体"/>
      <charset val="134"/>
      <scheme val="major"/>
    </font>
    <font>
      <b/>
      <sz val="12"/>
      <color theme="1"/>
      <name val="宋体"/>
      <charset val="134"/>
      <scheme val="minor"/>
    </font>
    <font>
      <b/>
      <sz val="10"/>
      <color theme="1"/>
      <name val="宋体"/>
      <charset val="134"/>
      <scheme val="minor"/>
    </font>
    <font>
      <sz val="9"/>
      <name val="宋体"/>
      <charset val="134"/>
    </font>
    <font>
      <b/>
      <sz val="12"/>
      <name val="宋体"/>
      <charset val="134"/>
    </font>
    <font>
      <b/>
      <sz val="9"/>
      <name val="宋体"/>
      <charset val="134"/>
    </font>
    <font>
      <sz val="10"/>
      <name val="宋体"/>
      <charset val="134"/>
    </font>
    <font>
      <sz val="9"/>
      <color theme="1"/>
      <name val="宋体"/>
      <charset val="134"/>
      <scheme val="minor"/>
    </font>
    <font>
      <sz val="20"/>
      <color theme="1"/>
      <name val="宋体"/>
      <charset val="134"/>
      <scheme val="minor"/>
    </font>
    <font>
      <sz val="9"/>
      <name val="宋体"/>
      <charset val="134"/>
      <scheme val="minor"/>
    </font>
    <font>
      <sz val="11"/>
      <name val="Times New Roman"/>
      <charset val="134"/>
    </font>
    <font>
      <sz val="11"/>
      <color indexed="8"/>
      <name val="宋体"/>
      <charset val="134"/>
    </font>
    <font>
      <b/>
      <sz val="11"/>
      <color theme="1"/>
      <name val="Tahoma"/>
      <charset val="134"/>
    </font>
    <font>
      <sz val="11"/>
      <color rgb="FF000000"/>
      <name val="宋体"/>
      <charset val="134"/>
      <scheme val="minor"/>
    </font>
    <font>
      <sz val="11"/>
      <color theme="1"/>
      <name val="仿宋"/>
      <charset val="134"/>
    </font>
    <font>
      <sz val="11"/>
      <color theme="1"/>
      <name val="宋体"/>
      <charset val="134"/>
    </font>
    <font>
      <sz val="20"/>
      <name val="宋体"/>
      <charset val="134"/>
    </font>
    <font>
      <b/>
      <sz val="10"/>
      <name val="宋体"/>
      <charset val="134"/>
    </font>
    <font>
      <b/>
      <sz val="26"/>
      <name val="宋体"/>
      <charset val="134"/>
    </font>
    <font>
      <sz val="16"/>
      <name val="宋体"/>
      <charset val="134"/>
    </font>
    <font>
      <b/>
      <sz val="2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9"/>
      <name val="宋体"/>
      <charset val="134"/>
    </font>
    <font>
      <sz val="9"/>
      <name val="宋体"/>
      <charset val="134"/>
    </font>
  </fonts>
  <fills count="3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FFFFFF"/>
        <bgColor indexed="64"/>
      </patternFill>
    </fill>
    <fill>
      <patternFill patternType="solid">
        <fgColor indexed="9"/>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medium">
        <color auto="1"/>
      </top>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43" fontId="0" fillId="0" borderId="0" applyFont="0" applyFill="0" applyBorder="0" applyAlignment="0" applyProtection="0"/>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0" fillId="8" borderId="17"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18" applyNumberFormat="0" applyFill="0" applyAlignment="0" applyProtection="0">
      <alignment vertical="center"/>
    </xf>
    <xf numFmtId="0" fontId="48" fillId="0" borderId="18" applyNumberFormat="0" applyFill="0" applyAlignment="0" applyProtection="0">
      <alignment vertical="center"/>
    </xf>
    <xf numFmtId="0" fontId="49" fillId="0" borderId="19" applyNumberFormat="0" applyFill="0" applyAlignment="0" applyProtection="0">
      <alignment vertical="center"/>
    </xf>
    <xf numFmtId="0" fontId="49" fillId="0" borderId="0" applyNumberFormat="0" applyFill="0" applyBorder="0" applyAlignment="0" applyProtection="0">
      <alignment vertical="center"/>
    </xf>
    <xf numFmtId="0" fontId="50" fillId="9" borderId="20" applyNumberFormat="0" applyAlignment="0" applyProtection="0">
      <alignment vertical="center"/>
    </xf>
    <xf numFmtId="0" fontId="51" fillId="10" borderId="21" applyNumberFormat="0" applyAlignment="0" applyProtection="0">
      <alignment vertical="center"/>
    </xf>
    <xf numFmtId="0" fontId="52" fillId="10" borderId="20" applyNumberFormat="0" applyAlignment="0" applyProtection="0">
      <alignment vertical="center"/>
    </xf>
    <xf numFmtId="0" fontId="53" fillId="11" borderId="22" applyNumberFormat="0" applyAlignment="0" applyProtection="0">
      <alignment vertical="center"/>
    </xf>
    <xf numFmtId="0" fontId="54" fillId="0" borderId="23" applyNumberFormat="0" applyFill="0" applyAlignment="0" applyProtection="0">
      <alignment vertical="center"/>
    </xf>
    <xf numFmtId="0" fontId="55" fillId="0" borderId="24" applyNumberFormat="0" applyFill="0" applyAlignment="0" applyProtection="0">
      <alignment vertical="center"/>
    </xf>
    <xf numFmtId="0" fontId="56"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9" fillId="15" borderId="0" applyNumberFormat="0" applyBorder="0" applyAlignment="0" applyProtection="0">
      <alignment vertical="center"/>
    </xf>
    <xf numFmtId="0" fontId="60" fillId="16" borderId="0" applyNumberFormat="0" applyBorder="0" applyAlignment="0" applyProtection="0">
      <alignment vertical="center"/>
    </xf>
    <xf numFmtId="0" fontId="60" fillId="17" borderId="0" applyNumberFormat="0" applyBorder="0" applyAlignment="0" applyProtection="0">
      <alignment vertical="center"/>
    </xf>
    <xf numFmtId="0" fontId="59" fillId="18" borderId="0" applyNumberFormat="0" applyBorder="0" applyAlignment="0" applyProtection="0">
      <alignment vertical="center"/>
    </xf>
    <xf numFmtId="0" fontId="59" fillId="19" borderId="0" applyNumberFormat="0" applyBorder="0" applyAlignment="0" applyProtection="0">
      <alignment vertical="center"/>
    </xf>
    <xf numFmtId="0" fontId="60" fillId="20" borderId="0" applyNumberFormat="0" applyBorder="0" applyAlignment="0" applyProtection="0">
      <alignment vertical="center"/>
    </xf>
    <xf numFmtId="0" fontId="60" fillId="21" borderId="0" applyNumberFormat="0" applyBorder="0" applyAlignment="0" applyProtection="0">
      <alignment vertical="center"/>
    </xf>
    <xf numFmtId="0" fontId="59" fillId="22" borderId="0" applyNumberFormat="0" applyBorder="0" applyAlignment="0" applyProtection="0">
      <alignment vertical="center"/>
    </xf>
    <xf numFmtId="0" fontId="59" fillId="23" borderId="0" applyNumberFormat="0" applyBorder="0" applyAlignment="0" applyProtection="0">
      <alignment vertical="center"/>
    </xf>
    <xf numFmtId="0" fontId="60" fillId="24" borderId="0" applyNumberFormat="0" applyBorder="0" applyAlignment="0" applyProtection="0">
      <alignment vertical="center"/>
    </xf>
    <xf numFmtId="0" fontId="60" fillId="25" borderId="0" applyNumberFormat="0" applyBorder="0" applyAlignment="0" applyProtection="0">
      <alignment vertical="center"/>
    </xf>
    <xf numFmtId="0" fontId="59" fillId="26" borderId="0" applyNumberFormat="0" applyBorder="0" applyAlignment="0" applyProtection="0">
      <alignment vertical="center"/>
    </xf>
    <xf numFmtId="0" fontId="59" fillId="27" borderId="0" applyNumberFormat="0" applyBorder="0" applyAlignment="0" applyProtection="0">
      <alignment vertical="center"/>
    </xf>
    <xf numFmtId="0" fontId="60" fillId="28" borderId="0" applyNumberFormat="0" applyBorder="0" applyAlignment="0" applyProtection="0">
      <alignment vertical="center"/>
    </xf>
    <xf numFmtId="0" fontId="60" fillId="29" borderId="0" applyNumberFormat="0" applyBorder="0" applyAlignment="0" applyProtection="0">
      <alignment vertical="center"/>
    </xf>
    <xf numFmtId="0" fontId="59" fillId="30" borderId="0" applyNumberFormat="0" applyBorder="0" applyAlignment="0" applyProtection="0">
      <alignment vertical="center"/>
    </xf>
    <xf numFmtId="0" fontId="59" fillId="31" borderId="0" applyNumberFormat="0" applyBorder="0" applyAlignment="0" applyProtection="0">
      <alignment vertical="center"/>
    </xf>
    <xf numFmtId="0" fontId="60" fillId="32" borderId="0" applyNumberFormat="0" applyBorder="0" applyAlignment="0" applyProtection="0">
      <alignment vertical="center"/>
    </xf>
    <xf numFmtId="0" fontId="60" fillId="33" borderId="0" applyNumberFormat="0" applyBorder="0" applyAlignment="0" applyProtection="0">
      <alignment vertical="center"/>
    </xf>
    <xf numFmtId="0" fontId="59" fillId="34" borderId="0" applyNumberFormat="0" applyBorder="0" applyAlignment="0" applyProtection="0">
      <alignment vertical="center"/>
    </xf>
    <xf numFmtId="0" fontId="59" fillId="35" borderId="0" applyNumberFormat="0" applyBorder="0" applyAlignment="0" applyProtection="0">
      <alignment vertical="center"/>
    </xf>
    <xf numFmtId="0" fontId="60" fillId="36" borderId="0" applyNumberFormat="0" applyBorder="0" applyAlignment="0" applyProtection="0">
      <alignment vertical="center"/>
    </xf>
    <xf numFmtId="0" fontId="60" fillId="37"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32" fillId="0" borderId="0"/>
    <xf numFmtId="0" fontId="61" fillId="0" borderId="0"/>
    <xf numFmtId="0" fontId="27" fillId="0" borderId="0"/>
    <xf numFmtId="0" fontId="27" fillId="0" borderId="0"/>
    <xf numFmtId="0" fontId="27" fillId="0" borderId="0"/>
    <xf numFmtId="0" fontId="20" fillId="0" borderId="0"/>
    <xf numFmtId="0" fontId="32" fillId="0" borderId="0">
      <alignment vertical="center"/>
    </xf>
    <xf numFmtId="0" fontId="20" fillId="0" borderId="0">
      <alignment vertical="center"/>
    </xf>
    <xf numFmtId="0" fontId="0" fillId="0" borderId="0"/>
    <xf numFmtId="0" fontId="27" fillId="0" borderId="0"/>
    <xf numFmtId="0" fontId="0" fillId="0" borderId="0"/>
    <xf numFmtId="0" fontId="0" fillId="0" borderId="0"/>
    <xf numFmtId="176"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0" fontId="0" fillId="0" borderId="0"/>
  </cellStyleXfs>
  <cellXfs count="413">
    <xf numFmtId="0" fontId="0" fillId="0" borderId="0" xfId="0"/>
    <xf numFmtId="0" fontId="0" fillId="0" borderId="0" xfId="0" applyFont="1" applyFill="1" applyBorder="1" applyAlignment="1">
      <alignment horizontal="center" vertical="center"/>
    </xf>
    <xf numFmtId="177"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ont="1" applyFill="1" applyBorder="1" applyAlignment="1">
      <alignment horizontal="center" vertical="center" wrapText="1"/>
    </xf>
    <xf numFmtId="178" fontId="0" fillId="0" borderId="0" xfId="0" applyNumberFormat="1"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0" fillId="0" borderId="0" xfId="0" applyFill="1" applyBorder="1" applyAlignment="1">
      <alignment horizontal="center" vertical="center" wrapText="1"/>
    </xf>
    <xf numFmtId="178" fontId="0" fillId="0" borderId="0" xfId="0" applyNumberFormat="1" applyFill="1" applyBorder="1" applyAlignment="1">
      <alignment horizontal="center" vertical="center"/>
    </xf>
    <xf numFmtId="0" fontId="2" fillId="0" borderId="0" xfId="0" applyFont="1" applyFill="1" applyBorder="1" applyAlignment="1">
      <alignment horizontal="righ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177" fontId="6" fillId="2" borderId="1" xfId="0" applyNumberFormat="1" applyFont="1" applyFill="1" applyBorder="1" applyAlignment="1">
      <alignment horizontal="left" vertical="center"/>
    </xf>
    <xf numFmtId="177"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left" vertical="center"/>
    </xf>
    <xf numFmtId="0" fontId="1" fillId="0" borderId="1" xfId="0" applyFont="1" applyFill="1" applyBorder="1" applyAlignment="1">
      <alignment horizontal="center" vertical="center"/>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43" fontId="7" fillId="0" borderId="1" xfId="0" applyNumberFormat="1" applyFont="1" applyFill="1" applyBorder="1" applyAlignment="1">
      <alignment horizontal="center" vertical="center"/>
    </xf>
    <xf numFmtId="43"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43" fontId="7" fillId="3" borderId="1" xfId="0" applyNumberFormat="1" applyFont="1" applyFill="1" applyBorder="1" applyAlignment="1">
      <alignment horizontal="center" vertical="center"/>
    </xf>
    <xf numFmtId="0" fontId="8" fillId="0" borderId="0" xfId="0" applyFont="1" applyFill="1" applyBorder="1" applyAlignment="1">
      <alignment horizontal="center" vertical="center"/>
    </xf>
    <xf numFmtId="0" fontId="1" fillId="3" borderId="0" xfId="0" applyFont="1" applyFill="1" applyBorder="1" applyAlignment="1">
      <alignment horizontal="center" vertical="center"/>
    </xf>
    <xf numFmtId="178" fontId="1" fillId="0" borderId="0" xfId="0" applyNumberFormat="1" applyFont="1" applyFill="1" applyBorder="1" applyAlignment="1">
      <alignment horizontal="center" vertical="center"/>
    </xf>
    <xf numFmtId="0" fontId="8" fillId="0" borderId="0" xfId="0" applyFont="1" applyFill="1" applyBorder="1" applyAlignment="1">
      <alignment horizontal="left" vertical="center"/>
    </xf>
    <xf numFmtId="0" fontId="9" fillId="0" borderId="0" xfId="0" applyNumberFormat="1" applyFont="1" applyFill="1" applyBorder="1" applyAlignment="1">
      <alignment horizontal="center" vertical="center"/>
    </xf>
    <xf numFmtId="178" fontId="9" fillId="0" borderId="0" xfId="0" applyNumberFormat="1" applyFont="1" applyFill="1" applyBorder="1" applyAlignment="1">
      <alignment horizontal="center" vertical="center"/>
    </xf>
    <xf numFmtId="0" fontId="10" fillId="0" borderId="0" xfId="0" applyFont="1" applyFill="1" applyBorder="1" applyAlignment="1">
      <alignment horizontal="center" vertical="center" wrapText="1"/>
    </xf>
    <xf numFmtId="178" fontId="1" fillId="0" borderId="0" xfId="0" applyNumberFormat="1" applyFont="1" applyFill="1" applyBorder="1" applyAlignment="1">
      <alignment horizontal="center"/>
    </xf>
    <xf numFmtId="178" fontId="11" fillId="0" borderId="0" xfId="0" applyNumberFormat="1" applyFont="1" applyFill="1" applyBorder="1" applyAlignment="1">
      <alignment horizontal="center" vertical="center" wrapText="1"/>
    </xf>
    <xf numFmtId="0" fontId="8" fillId="0" borderId="0" xfId="0" applyFont="1" applyFill="1" applyBorder="1" applyAlignment="1">
      <alignment horizontal="right" vertical="center" wrapText="1"/>
    </xf>
    <xf numFmtId="0" fontId="12"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179" fontId="6"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left" vertical="center" wrapText="1"/>
    </xf>
    <xf numFmtId="178" fontId="1" fillId="3" borderId="1" xfId="0" applyNumberFormat="1" applyFont="1" applyFill="1" applyBorder="1" applyAlignment="1">
      <alignment horizontal="center" vertical="center" wrapText="1"/>
    </xf>
    <xf numFmtId="179" fontId="1" fillId="3" borderId="1" xfId="0" applyNumberFormat="1" applyFont="1" applyFill="1" applyBorder="1" applyAlignment="1">
      <alignment horizontal="left" vertical="center" wrapText="1"/>
    </xf>
    <xf numFmtId="0" fontId="1" fillId="3" borderId="1" xfId="0" applyNumberFormat="1" applyFont="1" applyFill="1" applyBorder="1" applyAlignment="1">
      <alignment horizontal="left" vertical="center" wrapText="1"/>
    </xf>
    <xf numFmtId="0" fontId="1" fillId="3" borderId="1" xfId="0" applyNumberFormat="1" applyFont="1" applyFill="1" applyBorder="1" applyAlignment="1">
      <alignment horizontal="center" vertical="center" wrapText="1"/>
    </xf>
    <xf numFmtId="0" fontId="7" fillId="3" borderId="1" xfId="0" applyNumberFormat="1" applyFont="1" applyFill="1" applyBorder="1" applyAlignment="1" applyProtection="1">
      <alignment horizontal="center" vertical="center" wrapText="1"/>
    </xf>
    <xf numFmtId="0" fontId="13" fillId="0" borderId="0" xfId="0" applyFont="1" applyFill="1" applyBorder="1" applyAlignment="1">
      <alignment vertical="center"/>
    </xf>
    <xf numFmtId="0" fontId="0" fillId="0" borderId="0" xfId="0" applyFill="1" applyBorder="1" applyAlignment="1">
      <alignment vertical="center" wrapText="1"/>
    </xf>
    <xf numFmtId="0" fontId="0" fillId="0" borderId="0" xfId="0" applyFill="1" applyBorder="1" applyAlignment="1">
      <alignment vertical="center"/>
    </xf>
    <xf numFmtId="0" fontId="2" fillId="0" borderId="0" xfId="0" applyFont="1" applyFill="1" applyBorder="1" applyAlignment="1">
      <alignment vertical="center" wrapText="1"/>
    </xf>
    <xf numFmtId="0" fontId="14" fillId="0" borderId="0" xfId="0" applyFont="1" applyFill="1" applyBorder="1" applyAlignment="1">
      <alignment horizontal="center" vertical="center" wrapText="1"/>
    </xf>
    <xf numFmtId="0" fontId="14"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3" fillId="0" borderId="0" xfId="0" applyFont="1" applyFill="1" applyBorder="1" applyAlignment="1">
      <alignment horizontal="right" vertical="center"/>
    </xf>
    <xf numFmtId="0" fontId="15" fillId="0" borderId="1" xfId="0" applyFont="1" applyFill="1" applyBorder="1" applyAlignment="1">
      <alignment horizontal="center" vertical="center" wrapText="1"/>
    </xf>
    <xf numFmtId="177" fontId="15" fillId="0" borderId="2" xfId="0" applyNumberFormat="1" applyFont="1" applyFill="1" applyBorder="1" applyAlignment="1">
      <alignment horizontal="center" vertical="center"/>
    </xf>
    <xf numFmtId="0" fontId="15" fillId="0" borderId="1" xfId="0" applyFont="1" applyFill="1" applyBorder="1" applyAlignment="1">
      <alignment horizontal="center" vertical="center"/>
    </xf>
    <xf numFmtId="0" fontId="15" fillId="2" borderId="1" xfId="0" applyFont="1" applyFill="1" applyBorder="1" applyAlignment="1">
      <alignment horizontal="center" vertical="center" wrapText="1"/>
    </xf>
    <xf numFmtId="177" fontId="4" fillId="2" borderId="3" xfId="0" applyNumberFormat="1" applyFont="1" applyFill="1" applyBorder="1" applyAlignment="1">
      <alignment horizontal="center" vertical="center"/>
    </xf>
    <xf numFmtId="0" fontId="15" fillId="2" borderId="1" xfId="0" applyFont="1" applyFill="1" applyBorder="1" applyAlignment="1">
      <alignment vertical="center"/>
    </xf>
    <xf numFmtId="0" fontId="13" fillId="0" borderId="1" xfId="0" applyFont="1" applyFill="1" applyBorder="1" applyAlignment="1">
      <alignment vertical="center" wrapText="1"/>
    </xf>
    <xf numFmtId="177" fontId="13" fillId="0" borderId="2" xfId="0" applyNumberFormat="1" applyFont="1" applyFill="1" applyBorder="1" applyAlignment="1">
      <alignment horizontal="right" vertical="center"/>
    </xf>
    <xf numFmtId="0" fontId="13" fillId="0" borderId="1" xfId="0" applyFont="1" applyFill="1" applyBorder="1" applyAlignment="1">
      <alignment vertical="center"/>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vertical="center"/>
    </xf>
    <xf numFmtId="0" fontId="2" fillId="0" borderId="0" xfId="0" applyFont="1" applyAlignment="1">
      <alignment vertical="center"/>
    </xf>
    <xf numFmtId="0" fontId="16" fillId="0" borderId="0" xfId="0" applyFont="1" applyFill="1" applyAlignment="1">
      <alignment vertical="center"/>
    </xf>
    <xf numFmtId="0" fontId="17" fillId="0" borderId="0" xfId="0" applyFont="1" applyFill="1" applyAlignment="1">
      <alignment vertical="center"/>
    </xf>
    <xf numFmtId="0" fontId="18" fillId="0" borderId="0" xfId="0" applyFont="1" applyFill="1" applyAlignment="1">
      <alignment vertical="center"/>
    </xf>
    <xf numFmtId="0" fontId="19" fillId="0" borderId="0" xfId="0" applyFont="1" applyFill="1" applyAlignment="1">
      <alignment vertical="center"/>
    </xf>
    <xf numFmtId="0" fontId="20" fillId="0" borderId="0" xfId="0" applyFont="1" applyFill="1" applyAlignment="1">
      <alignment vertical="center"/>
    </xf>
    <xf numFmtId="177" fontId="20" fillId="0" borderId="0" xfId="0" applyNumberFormat="1" applyFont="1" applyFill="1" applyAlignment="1">
      <alignment vertical="center"/>
    </xf>
    <xf numFmtId="0" fontId="20" fillId="0" borderId="0" xfId="0" applyFont="1" applyFill="1" applyAlignment="1">
      <alignment vertical="center" wrapText="1"/>
    </xf>
    <xf numFmtId="0" fontId="2" fillId="0" borderId="0" xfId="0" applyFont="1" applyFill="1" applyAlignment="1">
      <alignment horizontal="left" vertical="center"/>
    </xf>
    <xf numFmtId="177" fontId="2" fillId="0" borderId="0" xfId="0" applyNumberFormat="1" applyFont="1" applyFill="1" applyAlignment="1">
      <alignment vertical="center"/>
    </xf>
    <xf numFmtId="0" fontId="2" fillId="0" borderId="0" xfId="0" applyNumberFormat="1" applyFont="1" applyFill="1" applyAlignment="1">
      <alignment vertical="center"/>
    </xf>
    <xf numFmtId="0" fontId="21" fillId="0" borderId="0" xfId="0" applyFont="1" applyFill="1" applyAlignment="1">
      <alignment horizontal="center" vertical="center" wrapText="1"/>
    </xf>
    <xf numFmtId="177" fontId="21" fillId="0" borderId="0" xfId="0" applyNumberFormat="1" applyFont="1" applyFill="1" applyAlignment="1">
      <alignment horizontal="center" vertical="center" wrapText="1"/>
    </xf>
    <xf numFmtId="0" fontId="17" fillId="0" borderId="0" xfId="0" applyFont="1" applyFill="1" applyAlignment="1">
      <alignment horizontal="left" vertical="center" wrapText="1"/>
    </xf>
    <xf numFmtId="0" fontId="17" fillId="0" borderId="0" xfId="0" applyFont="1" applyFill="1" applyAlignment="1">
      <alignment horizontal="center" vertical="center" wrapText="1"/>
    </xf>
    <xf numFmtId="177" fontId="17" fillId="0" borderId="0" xfId="0" applyNumberFormat="1" applyFont="1" applyFill="1" applyAlignment="1">
      <alignment vertical="center"/>
    </xf>
    <xf numFmtId="0" fontId="18" fillId="0" borderId="1" xfId="0" applyFont="1" applyFill="1" applyBorder="1" applyAlignment="1">
      <alignment horizontal="center" vertical="center" wrapText="1"/>
    </xf>
    <xf numFmtId="177" fontId="18" fillId="0" borderId="1" xfId="0" applyNumberFormat="1" applyFont="1" applyFill="1" applyBorder="1" applyAlignment="1">
      <alignment horizontal="center" vertical="center" wrapText="1"/>
    </xf>
    <xf numFmtId="0" fontId="18" fillId="0" borderId="3" xfId="0" applyFont="1" applyFill="1" applyBorder="1" applyAlignment="1">
      <alignment horizontal="center" vertical="center" wrapText="1"/>
    </xf>
    <xf numFmtId="43" fontId="22" fillId="0" borderId="1" xfId="0" applyNumberFormat="1" applyFont="1" applyFill="1" applyBorder="1" applyAlignment="1">
      <alignment horizontal="center" vertical="center" wrapText="1"/>
    </xf>
    <xf numFmtId="177" fontId="22" fillId="0" borderId="1" xfId="0" applyNumberFormat="1" applyFont="1" applyFill="1" applyBorder="1" applyAlignment="1">
      <alignment horizontal="center" vertical="center"/>
    </xf>
    <xf numFmtId="41" fontId="22" fillId="0" borderId="1" xfId="0" applyNumberFormat="1" applyFont="1" applyFill="1" applyBorder="1" applyAlignment="1">
      <alignment horizontal="center" vertical="center"/>
    </xf>
    <xf numFmtId="43" fontId="22" fillId="0" borderId="1" xfId="0" applyNumberFormat="1" applyFont="1" applyFill="1" applyBorder="1" applyAlignment="1">
      <alignment horizontal="left" vertical="center" wrapText="1"/>
    </xf>
    <xf numFmtId="177" fontId="1" fillId="0" borderId="1" xfId="59" applyNumberFormat="1" applyFont="1" applyFill="1" applyBorder="1" applyAlignment="1">
      <alignment horizontal="center" vertical="center" wrapText="1"/>
    </xf>
    <xf numFmtId="0" fontId="2" fillId="0" borderId="0" xfId="0" applyFont="1" applyFill="1" applyAlignment="1">
      <alignment vertical="center"/>
    </xf>
    <xf numFmtId="0" fontId="17" fillId="0" borderId="0" xfId="0" applyFont="1" applyFill="1" applyAlignment="1">
      <alignment horizontal="right" vertical="center" wrapText="1"/>
    </xf>
    <xf numFmtId="0" fontId="22" fillId="0" borderId="1" xfId="0" applyFont="1" applyFill="1" applyBorder="1" applyAlignment="1">
      <alignment vertical="center" wrapText="1"/>
    </xf>
    <xf numFmtId="0" fontId="23"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0" fillId="0" borderId="0" xfId="0" applyFont="1" applyFill="1" applyBorder="1" applyAlignment="1">
      <alignment vertical="center"/>
    </xf>
    <xf numFmtId="0" fontId="24" fillId="0" borderId="0" xfId="0" applyFont="1" applyFill="1" applyBorder="1" applyAlignment="1">
      <alignment vertical="center"/>
    </xf>
    <xf numFmtId="0" fontId="25" fillId="0" borderId="0" xfId="0" applyFont="1" applyFill="1" applyBorder="1" applyAlignment="1">
      <alignment vertical="center" wrapText="1"/>
    </xf>
    <xf numFmtId="0" fontId="0" fillId="0" borderId="0" xfId="0" applyFont="1" applyFill="1" applyBorder="1" applyAlignment="1">
      <alignment vertical="center" wrapText="1"/>
    </xf>
    <xf numFmtId="0" fontId="25" fillId="0" borderId="0" xfId="0" applyFont="1" applyFill="1" applyBorder="1" applyAlignment="1">
      <alignment vertical="center"/>
    </xf>
    <xf numFmtId="49" fontId="0" fillId="0" borderId="0" xfId="61" applyNumberFormat="1" applyFont="1" applyFill="1" applyBorder="1" applyAlignment="1">
      <alignment horizontal="center" vertical="center"/>
    </xf>
    <xf numFmtId="0" fontId="0" fillId="0" borderId="0" xfId="61" applyFont="1" applyFill="1" applyBorder="1" applyAlignment="1">
      <alignment vertical="center"/>
    </xf>
    <xf numFmtId="0" fontId="0" fillId="0" borderId="0" xfId="0" applyFont="1" applyFill="1" applyBorder="1" applyAlignment="1"/>
    <xf numFmtId="0" fontId="2" fillId="0" borderId="0" xfId="0" applyFont="1" applyFill="1" applyBorder="1" applyAlignment="1">
      <alignment vertical="center"/>
    </xf>
    <xf numFmtId="49" fontId="26" fillId="0" borderId="0" xfId="0" applyNumberFormat="1" applyFont="1" applyFill="1" applyBorder="1" applyAlignment="1">
      <alignment vertical="center" wrapText="1"/>
    </xf>
    <xf numFmtId="0" fontId="26" fillId="0" borderId="0"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vertical="center"/>
    </xf>
    <xf numFmtId="177" fontId="4" fillId="0" borderId="1" xfId="1" applyNumberFormat="1" applyFont="1" applyFill="1" applyBorder="1" applyAlignment="1">
      <alignment vertical="center"/>
    </xf>
    <xf numFmtId="177" fontId="4" fillId="0" borderId="1" xfId="1" applyNumberFormat="1" applyFont="1" applyFill="1" applyBorder="1" applyAlignment="1">
      <alignment horizontal="right" vertical="center"/>
    </xf>
    <xf numFmtId="0" fontId="4" fillId="0" borderId="1" xfId="0" applyFont="1" applyFill="1" applyBorder="1" applyAlignment="1">
      <alignment vertical="center" wrapText="1"/>
    </xf>
    <xf numFmtId="0" fontId="2" fillId="0" borderId="1" xfId="0" applyFont="1" applyFill="1" applyBorder="1" applyAlignment="1">
      <alignment vertical="center"/>
    </xf>
    <xf numFmtId="177" fontId="2" fillId="0" borderId="1" xfId="1" applyNumberFormat="1" applyFont="1" applyFill="1" applyBorder="1" applyAlignment="1">
      <alignment vertical="center"/>
    </xf>
    <xf numFmtId="177" fontId="2" fillId="0" borderId="1" xfId="1" applyNumberFormat="1" applyFont="1" applyFill="1" applyBorder="1" applyAlignment="1">
      <alignment horizontal="right" vertical="center"/>
    </xf>
    <xf numFmtId="177" fontId="2" fillId="0" borderId="1" xfId="0" applyNumberFormat="1" applyFont="1" applyFill="1" applyBorder="1" applyAlignment="1">
      <alignment horizontal="right" vertical="center"/>
    </xf>
    <xf numFmtId="0" fontId="2" fillId="0" borderId="1" xfId="0" applyFont="1" applyFill="1" applyBorder="1" applyAlignment="1">
      <alignment vertical="center" wrapText="1"/>
    </xf>
    <xf numFmtId="0" fontId="2" fillId="0" borderId="1" xfId="0" applyFont="1" applyFill="1" applyBorder="1" applyAlignment="1">
      <alignment horizontal="left" vertical="center"/>
    </xf>
    <xf numFmtId="177" fontId="2" fillId="0" borderId="1" xfId="63" applyNumberFormat="1" applyFont="1" applyFill="1" applyBorder="1" applyAlignment="1">
      <alignment horizontal="right" vertical="center"/>
    </xf>
    <xf numFmtId="0" fontId="4" fillId="0" borderId="1" xfId="0" applyFont="1" applyFill="1" applyBorder="1" applyAlignment="1">
      <alignment horizontal="left" vertical="center"/>
    </xf>
    <xf numFmtId="177" fontId="4" fillId="0" borderId="1" xfId="0" applyNumberFormat="1" applyFont="1" applyFill="1" applyBorder="1" applyAlignment="1">
      <alignment vertical="center"/>
    </xf>
    <xf numFmtId="177" fontId="2" fillId="0" borderId="1" xfId="0" applyNumberFormat="1" applyFont="1" applyFill="1" applyBorder="1" applyAlignment="1">
      <alignment vertical="center"/>
    </xf>
    <xf numFmtId="0" fontId="25" fillId="0" borderId="0" xfId="0" applyFont="1" applyFill="1" applyBorder="1" applyAlignment="1"/>
    <xf numFmtId="0" fontId="4" fillId="0" borderId="0" xfId="0" applyFont="1" applyFill="1" applyBorder="1" applyAlignment="1">
      <alignment vertical="center"/>
    </xf>
    <xf numFmtId="177" fontId="0" fillId="0" borderId="0" xfId="0" applyNumberFormat="1" applyFont="1" applyFill="1" applyBorder="1" applyAlignment="1">
      <alignment vertical="center"/>
    </xf>
    <xf numFmtId="177" fontId="2" fillId="0" borderId="0" xfId="0" applyNumberFormat="1" applyFont="1" applyFill="1" applyBorder="1" applyAlignment="1">
      <alignment vertical="center"/>
    </xf>
    <xf numFmtId="177" fontId="3" fillId="0" borderId="0" xfId="0" applyNumberFormat="1" applyFont="1" applyFill="1" applyBorder="1" applyAlignment="1">
      <alignment horizontal="center" vertical="center"/>
    </xf>
    <xf numFmtId="177" fontId="24" fillId="0" borderId="0" xfId="0" applyNumberFormat="1" applyFont="1" applyFill="1" applyBorder="1" applyAlignment="1">
      <alignment vertical="center"/>
    </xf>
    <xf numFmtId="177" fontId="4" fillId="0" borderId="5"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right" vertical="center" wrapText="1"/>
    </xf>
    <xf numFmtId="0" fontId="2" fillId="0" borderId="1" xfId="0" applyFont="1" applyFill="1" applyBorder="1" applyAlignment="1">
      <alignment horizontal="right" vertical="center" wrapText="1"/>
    </xf>
    <xf numFmtId="0" fontId="2" fillId="0" borderId="1" xfId="0" applyFont="1" applyFill="1" applyBorder="1" applyAlignment="1">
      <alignment horizontal="left" vertical="center" wrapText="1"/>
    </xf>
    <xf numFmtId="0" fontId="27" fillId="0" borderId="1" xfId="0" applyFont="1" applyFill="1" applyBorder="1" applyAlignment="1">
      <alignment horizontal="left" vertical="center" wrapText="1"/>
    </xf>
    <xf numFmtId="177" fontId="2" fillId="0" borderId="6" xfId="0" applyNumberFormat="1" applyFont="1" applyFill="1" applyBorder="1" applyAlignment="1" applyProtection="1">
      <alignment horizontal="right" vertical="center"/>
    </xf>
    <xf numFmtId="177" fontId="2" fillId="0" borderId="1" xfId="0" applyNumberFormat="1" applyFont="1" applyFill="1" applyBorder="1" applyAlignment="1" applyProtection="1">
      <alignment horizontal="right" vertical="center"/>
    </xf>
    <xf numFmtId="177" fontId="4" fillId="0" borderId="1" xfId="0" applyNumberFormat="1" applyFont="1" applyFill="1" applyBorder="1" applyAlignment="1">
      <alignment horizontal="right" vertical="center"/>
    </xf>
    <xf numFmtId="0" fontId="20" fillId="0" borderId="0" xfId="0" applyFont="1" applyFill="1" applyBorder="1" applyAlignment="1">
      <alignment vertical="center"/>
    </xf>
    <xf numFmtId="177" fontId="20" fillId="0" borderId="0" xfId="0" applyNumberFormat="1" applyFont="1" applyFill="1" applyBorder="1" applyAlignment="1">
      <alignment vertical="center"/>
    </xf>
    <xf numFmtId="0" fontId="4" fillId="0" borderId="0" xfId="0" applyFont="1" applyFill="1" applyBorder="1" applyAlignment="1"/>
    <xf numFmtId="0" fontId="2" fillId="0" borderId="0" xfId="0" applyFont="1" applyFill="1" applyBorder="1" applyAlignment="1"/>
    <xf numFmtId="0" fontId="24" fillId="0" borderId="0" xfId="0" applyFont="1" applyFill="1" applyBorder="1" applyAlignment="1">
      <alignment horizontal="center" vertical="center"/>
    </xf>
    <xf numFmtId="0" fontId="0" fillId="0" borderId="0" xfId="0" applyFont="1" applyFill="1" applyBorder="1" applyAlignment="1">
      <alignment horizontal="left" vertical="center"/>
    </xf>
    <xf numFmtId="0" fontId="3" fillId="0" borderId="0" xfId="0" applyFont="1" applyFill="1" applyAlignment="1">
      <alignment horizontal="center" vertical="center"/>
    </xf>
    <xf numFmtId="0" fontId="24" fillId="0" borderId="0" xfId="0" applyFont="1" applyFill="1" applyBorder="1" applyAlignment="1">
      <alignment horizontal="left" vertical="center"/>
    </xf>
    <xf numFmtId="0" fontId="27" fillId="0" borderId="0" xfId="0" applyFont="1" applyFill="1" applyBorder="1" applyAlignment="1">
      <alignment vertical="center"/>
    </xf>
    <xf numFmtId="0" fontId="27" fillId="0" borderId="0" xfId="0" applyFont="1" applyFill="1" applyBorder="1" applyAlignment="1">
      <alignment horizontal="right" vertical="center"/>
    </xf>
    <xf numFmtId="0" fontId="4" fillId="0" borderId="5" xfId="0" applyFont="1" applyFill="1" applyBorder="1" applyAlignment="1">
      <alignment horizontal="center" vertical="center"/>
    </xf>
    <xf numFmtId="177" fontId="4" fillId="0" borderId="1" xfId="0" applyNumberFormat="1" applyFont="1" applyFill="1" applyBorder="1" applyAlignment="1">
      <alignment vertical="center" wrapTex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7" xfId="0" applyFont="1" applyFill="1" applyBorder="1" applyAlignment="1">
      <alignment horizontal="center" vertical="center"/>
    </xf>
    <xf numFmtId="0" fontId="2" fillId="0" borderId="1" xfId="65" applyFont="1" applyBorder="1" applyAlignment="1">
      <alignment horizontal="left" vertical="center" wrapText="1"/>
    </xf>
    <xf numFmtId="0" fontId="2" fillId="0" borderId="1" xfId="65" applyFont="1" applyBorder="1" applyAlignment="1">
      <alignment vertical="center" wrapText="1"/>
    </xf>
    <xf numFmtId="180" fontId="2" fillId="0" borderId="1" xfId="0" applyNumberFormat="1" applyFont="1" applyFill="1" applyBorder="1" applyAlignment="1">
      <alignment horizontal="left" vertical="center" wrapText="1"/>
    </xf>
    <xf numFmtId="0" fontId="4" fillId="0" borderId="1" xfId="65" applyFont="1" applyBorder="1" applyAlignment="1">
      <alignment horizontal="left" vertical="center" wrapText="1"/>
    </xf>
    <xf numFmtId="0" fontId="4" fillId="0" borderId="1" xfId="65" applyFont="1" applyBorder="1" applyAlignment="1">
      <alignment horizontal="center" vertical="center" wrapText="1"/>
    </xf>
    <xf numFmtId="177" fontId="2" fillId="0" borderId="1" xfId="0" applyNumberFormat="1" applyFont="1" applyFill="1" applyBorder="1" applyAlignment="1">
      <alignment horizontal="right" vertical="center" wrapText="1"/>
    </xf>
    <xf numFmtId="177" fontId="0" fillId="0" borderId="0" xfId="0" applyNumberFormat="1" applyFont="1" applyFill="1" applyBorder="1" applyAlignment="1">
      <alignment vertical="center" wrapText="1"/>
    </xf>
    <xf numFmtId="177" fontId="3" fillId="0" borderId="0" xfId="0" applyNumberFormat="1" applyFont="1" applyFill="1" applyAlignment="1">
      <alignment horizontal="center" vertical="center"/>
    </xf>
    <xf numFmtId="177" fontId="2" fillId="0" borderId="0" xfId="0" applyNumberFormat="1" applyFont="1" applyFill="1" applyBorder="1" applyAlignment="1">
      <alignment horizontal="right" vertical="center"/>
    </xf>
    <xf numFmtId="177" fontId="27" fillId="0" borderId="0" xfId="0" applyNumberFormat="1" applyFont="1" applyFill="1" applyBorder="1" applyAlignment="1">
      <alignment vertical="center"/>
    </xf>
    <xf numFmtId="177" fontId="4" fillId="0" borderId="7" xfId="0" applyNumberFormat="1" applyFont="1" applyFill="1" applyBorder="1" applyAlignment="1">
      <alignment horizontal="center" vertical="center" wrapText="1"/>
    </xf>
    <xf numFmtId="0" fontId="27" fillId="0" borderId="1" xfId="65" applyFont="1" applyBorder="1" applyAlignment="1">
      <alignment horizontal="left" vertical="center" wrapText="1"/>
    </xf>
    <xf numFmtId="177" fontId="0" fillId="0" borderId="1" xfId="0" applyNumberFormat="1" applyFont="1" applyFill="1" applyBorder="1" applyAlignment="1">
      <alignment horizontal="right" vertical="center"/>
    </xf>
    <xf numFmtId="0" fontId="27" fillId="0" borderId="1" xfId="65" applyFont="1" applyBorder="1" applyAlignment="1">
      <alignment horizontal="left" vertical="center"/>
    </xf>
    <xf numFmtId="177" fontId="25" fillId="0" borderId="1" xfId="0" applyNumberFormat="1" applyFont="1" applyFill="1" applyBorder="1" applyAlignment="1">
      <alignment horizontal="right" vertical="center"/>
    </xf>
    <xf numFmtId="0" fontId="27" fillId="0" borderId="1" xfId="65" applyFont="1" applyBorder="1" applyAlignment="1">
      <alignment vertical="center" wrapText="1"/>
    </xf>
    <xf numFmtId="0" fontId="25" fillId="0" borderId="1" xfId="65" applyFont="1" applyBorder="1" applyAlignment="1">
      <alignment horizontal="center" vertical="center" wrapText="1"/>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177" fontId="4" fillId="4" borderId="1" xfId="0" applyNumberFormat="1" applyFont="1" applyFill="1" applyBorder="1" applyAlignment="1">
      <alignment horizontal="right" vertical="center"/>
    </xf>
    <xf numFmtId="0" fontId="4" fillId="4" borderId="1"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8" fillId="0" borderId="0" xfId="0" applyFont="1" applyFill="1" applyAlignment="1">
      <alignment vertical="center"/>
    </xf>
    <xf numFmtId="0" fontId="29" fillId="0" borderId="0" xfId="0" applyFont="1" applyFill="1" applyAlignment="1">
      <alignment vertical="center"/>
    </xf>
    <xf numFmtId="49" fontId="0" fillId="0" borderId="0" xfId="61" applyNumberFormat="1" applyFill="1" applyAlignment="1">
      <alignment horizontal="center" vertical="center"/>
    </xf>
    <xf numFmtId="0" fontId="0" fillId="0" borderId="0" xfId="61" applyFill="1" applyAlignment="1">
      <alignment vertical="center"/>
    </xf>
    <xf numFmtId="41" fontId="30" fillId="0" borderId="0" xfId="0" applyNumberFormat="1" applyFont="1" applyFill="1" applyBorder="1" applyAlignment="1">
      <alignment horizontal="center" vertical="center"/>
    </xf>
    <xf numFmtId="41" fontId="30" fillId="0" borderId="0" xfId="0" applyNumberFormat="1" applyFont="1" applyFill="1" applyBorder="1" applyAlignment="1">
      <alignment horizontal="center" vertical="center" wrapText="1"/>
    </xf>
    <xf numFmtId="41" fontId="30" fillId="0" borderId="0" xfId="0" applyNumberFormat="1" applyFont="1" applyFill="1" applyBorder="1" applyAlignment="1">
      <alignment horizontal="left" vertical="center" wrapText="1"/>
    </xf>
    <xf numFmtId="0" fontId="9" fillId="0" borderId="0" xfId="0" applyFont="1" applyFill="1" applyAlignment="1">
      <alignment horizontal="center" vertical="center"/>
    </xf>
    <xf numFmtId="0" fontId="30" fillId="0" borderId="0" xfId="0" applyFont="1" applyFill="1" applyAlignment="1">
      <alignment vertical="center"/>
    </xf>
    <xf numFmtId="41" fontId="30" fillId="0" borderId="0" xfId="0" applyNumberFormat="1" applyFont="1" applyFill="1" applyAlignment="1">
      <alignment vertical="center"/>
    </xf>
    <xf numFmtId="181"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182"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49" fontId="31" fillId="0" borderId="1" xfId="0" applyNumberFormat="1" applyFont="1" applyFill="1" applyBorder="1" applyAlignment="1">
      <alignment vertical="center" wrapText="1"/>
    </xf>
    <xf numFmtId="177" fontId="2" fillId="0" borderId="1" xfId="64" applyNumberFormat="1" applyFont="1" applyFill="1" applyBorder="1" applyAlignment="1">
      <alignment horizontal="right" vertical="center"/>
    </xf>
    <xf numFmtId="177" fontId="32" fillId="0" borderId="1" xfId="63" applyNumberFormat="1" applyFont="1" applyFill="1" applyBorder="1" applyAlignment="1">
      <alignment horizontal="right" vertical="center"/>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1" fillId="0" borderId="1" xfId="0" applyNumberFormat="1" applyFont="1" applyFill="1" applyBorder="1" applyAlignment="1">
      <alignment horizontal="left" vertical="center" wrapText="1"/>
    </xf>
    <xf numFmtId="0" fontId="28" fillId="0" borderId="0" xfId="0" applyFont="1" applyFill="1" applyAlignment="1">
      <alignment horizontal="left" vertical="center"/>
    </xf>
    <xf numFmtId="0" fontId="28" fillId="0" borderId="0" xfId="0" applyFont="1" applyFill="1" applyAlignment="1">
      <alignment horizontal="center" vertical="center"/>
    </xf>
    <xf numFmtId="0" fontId="20" fillId="0" borderId="0" xfId="0" applyFont="1" applyFill="1" applyAlignment="1">
      <alignment horizontal="right" vertical="center"/>
    </xf>
    <xf numFmtId="183" fontId="0" fillId="0" borderId="0" xfId="0" applyNumberFormat="1" applyFont="1" applyFill="1" applyBorder="1" applyAlignment="1">
      <alignment vertical="center"/>
    </xf>
    <xf numFmtId="0" fontId="33" fillId="0" borderId="0" xfId="0" applyFont="1" applyFill="1" applyAlignment="1">
      <alignment vertical="center"/>
    </xf>
    <xf numFmtId="0" fontId="33" fillId="0" borderId="0" xfId="0" applyFont="1" applyFill="1" applyAlignment="1">
      <alignment horizontal="center" vertical="center"/>
    </xf>
    <xf numFmtId="0" fontId="20" fillId="0" borderId="0" xfId="0" applyFont="1" applyFill="1" applyAlignment="1">
      <alignment wrapText="1"/>
    </xf>
    <xf numFmtId="0" fontId="20" fillId="0" borderId="0" xfId="0" applyFont="1" applyFill="1" applyAlignment="1">
      <alignment horizontal="center" vertical="center" wrapText="1"/>
    </xf>
    <xf numFmtId="178" fontId="20" fillId="0" borderId="0" xfId="0" applyNumberFormat="1" applyFont="1" applyFill="1" applyAlignment="1">
      <alignment wrapText="1"/>
    </xf>
    <xf numFmtId="183" fontId="20" fillId="0" borderId="0" xfId="0" applyNumberFormat="1" applyFont="1" applyFill="1" applyAlignment="1">
      <alignment horizontal="right" wrapText="1"/>
    </xf>
    <xf numFmtId="183" fontId="20" fillId="0" borderId="0" xfId="0" applyNumberFormat="1" applyFont="1" applyFill="1" applyAlignment="1">
      <alignment horizontal="right"/>
    </xf>
    <xf numFmtId="0" fontId="20" fillId="0" borderId="0" xfId="0" applyFont="1" applyFill="1" applyAlignment="1">
      <alignment horizontal="center" wrapText="1"/>
    </xf>
    <xf numFmtId="0" fontId="20" fillId="0" borderId="0" xfId="0" applyFont="1" applyFill="1" applyAlignment="1"/>
    <xf numFmtId="178" fontId="21" fillId="0" borderId="0" xfId="0" applyNumberFormat="1" applyFont="1" applyFill="1" applyAlignment="1">
      <alignment horizontal="center" vertical="center" wrapText="1"/>
    </xf>
    <xf numFmtId="183" fontId="21" fillId="0" borderId="0" xfId="0" applyNumberFormat="1" applyFont="1" applyFill="1" applyAlignment="1">
      <alignment horizontal="right" vertical="center" wrapText="1"/>
    </xf>
    <xf numFmtId="0" fontId="4" fillId="3" borderId="1" xfId="53" applyFont="1" applyFill="1" applyBorder="1" applyAlignment="1">
      <alignment horizontal="center" vertical="center" wrapText="1"/>
    </xf>
    <xf numFmtId="178" fontId="4" fillId="3" borderId="1" xfId="53" applyNumberFormat="1" applyFont="1" applyFill="1" applyBorder="1" applyAlignment="1">
      <alignment horizontal="center" vertical="center" wrapText="1"/>
    </xf>
    <xf numFmtId="183" fontId="4" fillId="3" borderId="1" xfId="0" applyNumberFormat="1" applyFont="1" applyFill="1" applyBorder="1" applyAlignment="1">
      <alignment horizontal="center" vertical="center" wrapText="1"/>
    </xf>
    <xf numFmtId="0" fontId="8" fillId="3" borderId="1" xfId="53" applyFont="1" applyFill="1" applyBorder="1" applyAlignment="1">
      <alignment horizontal="center" vertical="center" wrapText="1"/>
    </xf>
    <xf numFmtId="0" fontId="20" fillId="0" borderId="1" xfId="0" applyFont="1" applyFill="1" applyBorder="1" applyAlignment="1">
      <alignment horizontal="center" vertical="center" wrapText="1" shrinkToFit="1"/>
    </xf>
    <xf numFmtId="0" fontId="8" fillId="3" borderId="1" xfId="0" applyFont="1" applyFill="1" applyBorder="1" applyAlignment="1">
      <alignment horizontal="center" vertical="center" wrapText="1"/>
    </xf>
    <xf numFmtId="178" fontId="8" fillId="3" borderId="1" xfId="0" applyNumberFormat="1" applyFont="1" applyFill="1" applyBorder="1" applyAlignment="1">
      <alignment horizontal="right" vertical="center" wrapText="1"/>
    </xf>
    <xf numFmtId="177" fontId="8" fillId="3" borderId="1" xfId="1" applyNumberFormat="1" applyFont="1" applyFill="1" applyBorder="1" applyAlignment="1">
      <alignment horizontal="right" vertical="center" wrapText="1"/>
    </xf>
    <xf numFmtId="177" fontId="8" fillId="0" borderId="1" xfId="60" applyNumberFormat="1" applyFont="1" applyFill="1" applyBorder="1" applyAlignment="1">
      <alignment horizontal="right" vertical="center" wrapText="1"/>
    </xf>
    <xf numFmtId="0" fontId="34" fillId="3" borderId="1" xfId="0" applyFont="1" applyFill="1" applyBorder="1" applyAlignment="1">
      <alignment horizontal="center" vertical="center" wrapText="1"/>
    </xf>
    <xf numFmtId="177" fontId="8" fillId="3" borderId="1" xfId="0" applyNumberFormat="1" applyFont="1" applyFill="1" applyBorder="1" applyAlignment="1">
      <alignment horizontal="right" vertical="center" wrapText="1"/>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178" fontId="12" fillId="3" borderId="1" xfId="53" applyNumberFormat="1" applyFont="1" applyFill="1" applyBorder="1" applyAlignment="1">
      <alignment horizontal="right" vertical="center" wrapText="1"/>
    </xf>
    <xf numFmtId="177" fontId="12" fillId="3" borderId="1" xfId="53" applyNumberFormat="1" applyFont="1" applyFill="1" applyBorder="1" applyAlignment="1">
      <alignment horizontal="right" vertical="center" wrapText="1"/>
    </xf>
    <xf numFmtId="0" fontId="20" fillId="0" borderId="1" xfId="0" applyNumberFormat="1" applyFont="1" applyFill="1" applyBorder="1" applyAlignment="1">
      <alignment horizontal="center" vertical="center"/>
    </xf>
    <xf numFmtId="0" fontId="8" fillId="3" borderId="1" xfId="52" applyFont="1" applyFill="1" applyBorder="1" applyAlignment="1">
      <alignment horizontal="center" vertical="center" wrapText="1"/>
    </xf>
    <xf numFmtId="0" fontId="13" fillId="0" borderId="1" xfId="0" applyFont="1" applyFill="1" applyBorder="1" applyAlignment="1">
      <alignment horizontal="center" vertical="center" wrapText="1"/>
    </xf>
    <xf numFmtId="178" fontId="8" fillId="0" borderId="1" xfId="0" applyNumberFormat="1" applyFont="1" applyFill="1" applyBorder="1" applyAlignment="1">
      <alignment horizontal="right" vertical="center" wrapText="1"/>
    </xf>
    <xf numFmtId="177" fontId="13" fillId="0" borderId="1" xfId="0" applyNumberFormat="1" applyFont="1" applyFill="1" applyBorder="1" applyAlignment="1">
      <alignment horizontal="right" vertical="center" wrapText="1"/>
    </xf>
    <xf numFmtId="177" fontId="8" fillId="3" borderId="1" xfId="53" applyNumberFormat="1" applyFont="1" applyFill="1" applyBorder="1" applyAlignment="1">
      <alignment horizontal="right" vertical="center" wrapText="1"/>
    </xf>
    <xf numFmtId="0" fontId="8" fillId="0" borderId="1" xfId="0" applyFont="1" applyFill="1" applyBorder="1" applyAlignment="1">
      <alignment horizontal="center" vertical="center" wrapText="1"/>
    </xf>
    <xf numFmtId="177" fontId="8" fillId="3" borderId="1" xfId="60" applyNumberFormat="1" applyFont="1" applyFill="1" applyBorder="1" applyAlignment="1">
      <alignment horizontal="right" vertical="center" wrapText="1"/>
    </xf>
    <xf numFmtId="0" fontId="8" fillId="3" borderId="1" xfId="58" applyFont="1" applyFill="1" applyBorder="1" applyAlignment="1">
      <alignment horizontal="center" vertical="center" wrapText="1"/>
    </xf>
    <xf numFmtId="178" fontId="8" fillId="3" borderId="1" xfId="60" applyNumberFormat="1" applyFont="1" applyFill="1" applyBorder="1" applyAlignment="1">
      <alignment horizontal="right" vertical="center" wrapText="1"/>
    </xf>
    <xf numFmtId="0" fontId="15" fillId="0" borderId="1" xfId="0" applyNumberFormat="1" applyFont="1" applyFill="1" applyBorder="1" applyAlignment="1" applyProtection="1">
      <alignment horizontal="center" vertical="center" wrapText="1"/>
    </xf>
    <xf numFmtId="178" fontId="12" fillId="0" borderId="1" xfId="52" applyNumberFormat="1" applyFont="1" applyFill="1" applyBorder="1" applyAlignment="1">
      <alignment horizontal="right" vertical="center" wrapText="1"/>
    </xf>
    <xf numFmtId="177" fontId="12" fillId="0" borderId="1" xfId="52" applyNumberFormat="1" applyFont="1" applyFill="1" applyBorder="1" applyAlignment="1">
      <alignment horizontal="right" vertical="center" wrapText="1"/>
    </xf>
    <xf numFmtId="177" fontId="12" fillId="0" borderId="1" xfId="60" applyNumberFormat="1" applyFont="1" applyFill="1" applyBorder="1" applyAlignment="1">
      <alignment horizontal="right" vertical="center" wrapText="1"/>
    </xf>
    <xf numFmtId="178" fontId="17" fillId="0" borderId="1" xfId="0" applyNumberFormat="1" applyFont="1" applyFill="1" applyBorder="1" applyAlignment="1">
      <alignment horizontal="right" vertical="center" wrapText="1"/>
    </xf>
    <xf numFmtId="177" fontId="17" fillId="0" borderId="1" xfId="0" applyNumberFormat="1" applyFont="1" applyFill="1" applyBorder="1" applyAlignment="1">
      <alignment horizontal="right" vertical="center" wrapText="1"/>
    </xf>
    <xf numFmtId="178" fontId="20" fillId="0" borderId="1" xfId="0" applyNumberFormat="1" applyFont="1" applyFill="1" applyBorder="1" applyAlignment="1">
      <alignment horizontal="right" vertical="center" wrapText="1"/>
    </xf>
    <xf numFmtId="178" fontId="20" fillId="0" borderId="1" xfId="0" applyNumberFormat="1" applyFont="1" applyFill="1" applyBorder="1" applyAlignment="1">
      <alignment horizontal="right" wrapText="1"/>
    </xf>
    <xf numFmtId="178" fontId="12" fillId="0" borderId="1" xfId="60" applyNumberFormat="1" applyFont="1" applyFill="1" applyBorder="1" applyAlignment="1">
      <alignment horizontal="right" vertical="center" wrapText="1"/>
    </xf>
    <xf numFmtId="0" fontId="35" fillId="0" borderId="0" xfId="0" applyFont="1" applyFill="1" applyAlignment="1">
      <alignment vertical="center" wrapText="1"/>
    </xf>
    <xf numFmtId="0" fontId="35" fillId="0" borderId="0" xfId="0" applyFont="1" applyFill="1" applyAlignment="1">
      <alignment wrapText="1"/>
    </xf>
    <xf numFmtId="0" fontId="35" fillId="0" borderId="0" xfId="0" applyFont="1" applyFill="1" applyAlignment="1">
      <alignment horizontal="center" vertical="center" wrapText="1"/>
    </xf>
    <xf numFmtId="178" fontId="20" fillId="0" borderId="0" xfId="0" applyNumberFormat="1" applyFont="1" applyFill="1" applyAlignment="1">
      <alignment horizontal="right"/>
    </xf>
    <xf numFmtId="0" fontId="36" fillId="0" borderId="0" xfId="0" applyFont="1" applyFill="1" applyAlignment="1">
      <alignment horizontal="right" vertical="center" wrapText="1"/>
    </xf>
    <xf numFmtId="0" fontId="4" fillId="3"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2" fillId="3" borderId="1" xfId="53" applyFont="1" applyFill="1" applyBorder="1" applyAlignment="1">
      <alignment horizontal="center" vertical="center" wrapText="1"/>
    </xf>
    <xf numFmtId="0" fontId="8" fillId="3" borderId="1" xfId="54" applyFont="1" applyFill="1" applyBorder="1" applyAlignment="1">
      <alignment horizontal="center" vertical="center" wrapText="1"/>
    </xf>
    <xf numFmtId="184" fontId="8" fillId="3" borderId="1" xfId="60" applyNumberFormat="1" applyFont="1" applyFill="1" applyBorder="1" applyAlignment="1">
      <alignment horizontal="center" vertical="center" wrapText="1"/>
    </xf>
    <xf numFmtId="0" fontId="20" fillId="0" borderId="1" xfId="0" applyFont="1" applyFill="1" applyBorder="1" applyAlignment="1">
      <alignment horizontal="center" wrapText="1"/>
    </xf>
    <xf numFmtId="0" fontId="8" fillId="5" borderId="1" xfId="0" applyNumberFormat="1" applyFont="1" applyFill="1" applyBorder="1" applyAlignment="1" applyProtection="1">
      <alignment horizontal="center" vertical="center" wrapText="1"/>
    </xf>
    <xf numFmtId="0" fontId="13" fillId="0" borderId="1" xfId="54" applyFont="1" applyFill="1" applyBorder="1" applyAlignment="1">
      <alignment horizontal="center" vertical="center" wrapText="1"/>
    </xf>
    <xf numFmtId="0" fontId="20" fillId="0" borderId="1" xfId="0" applyFont="1" applyFill="1" applyBorder="1" applyAlignment="1">
      <alignment wrapText="1"/>
    </xf>
    <xf numFmtId="0" fontId="20" fillId="0" borderId="1" xfId="0" applyFont="1" applyFill="1" applyBorder="1" applyAlignment="1">
      <alignment vertical="center" wrapText="1"/>
    </xf>
    <xf numFmtId="177" fontId="12" fillId="0" borderId="1" xfId="60" applyNumberFormat="1" applyFont="1" applyFill="1" applyBorder="1" applyAlignment="1">
      <alignment horizontal="center" vertical="center" wrapText="1"/>
    </xf>
    <xf numFmtId="177" fontId="17" fillId="0" borderId="1" xfId="0" applyNumberFormat="1" applyFont="1" applyFill="1" applyBorder="1" applyAlignment="1">
      <alignment horizontal="center" vertical="center" wrapText="1"/>
    </xf>
    <xf numFmtId="177" fontId="17" fillId="0" borderId="1" xfId="0" applyNumberFormat="1" applyFont="1" applyFill="1" applyBorder="1" applyAlignment="1">
      <alignment vertical="center" wrapText="1"/>
    </xf>
    <xf numFmtId="0" fontId="4" fillId="0" borderId="0" xfId="0" applyFont="1" applyFill="1" applyBorder="1" applyAlignment="1">
      <alignment vertical="center" wrapText="1"/>
    </xf>
    <xf numFmtId="41" fontId="0" fillId="0" borderId="0" xfId="0" applyNumberFormat="1" applyFont="1" applyFill="1" applyBorder="1" applyAlignment="1">
      <alignment vertical="center"/>
    </xf>
    <xf numFmtId="41" fontId="1" fillId="0" borderId="0" xfId="0" applyNumberFormat="1" applyFont="1" applyFill="1" applyBorder="1" applyAlignment="1">
      <alignment horizontal="center" vertical="center"/>
    </xf>
    <xf numFmtId="41" fontId="1" fillId="0" borderId="0" xfId="0" applyNumberFormat="1" applyFont="1" applyFill="1" applyBorder="1" applyAlignment="1">
      <alignment horizontal="center" vertical="center" wrapText="1"/>
    </xf>
    <xf numFmtId="41" fontId="1" fillId="0" borderId="0" xfId="0" applyNumberFormat="1" applyFont="1" applyFill="1" applyBorder="1" applyAlignment="1">
      <alignment horizontal="left" vertical="center" wrapText="1"/>
    </xf>
    <xf numFmtId="0" fontId="9" fillId="0" borderId="0" xfId="0" applyFont="1" applyFill="1" applyBorder="1" applyAlignment="1">
      <alignment horizontal="center" vertical="center"/>
    </xf>
    <xf numFmtId="41" fontId="9" fillId="0" borderId="0" xfId="0" applyNumberFormat="1" applyFont="1" applyFill="1" applyBorder="1" applyAlignment="1">
      <alignment horizontal="center" vertical="center"/>
    </xf>
    <xf numFmtId="41" fontId="9" fillId="0" borderId="0" xfId="0" applyNumberFormat="1" applyFont="1" applyFill="1" applyBorder="1" applyAlignment="1">
      <alignment horizontal="left" vertical="center"/>
    </xf>
    <xf numFmtId="0" fontId="30" fillId="0" borderId="0" xfId="0" applyFont="1" applyFill="1" applyBorder="1" applyAlignment="1">
      <alignment horizontal="center" vertical="center"/>
    </xf>
    <xf numFmtId="0" fontId="4" fillId="6" borderId="1" xfId="0" applyFont="1" applyFill="1" applyBorder="1" applyAlignment="1">
      <alignment horizontal="center" vertical="center" wrapText="1"/>
    </xf>
    <xf numFmtId="41" fontId="4" fillId="0" borderId="1" xfId="0" applyNumberFormat="1" applyFont="1" applyFill="1" applyBorder="1" applyAlignment="1">
      <alignment horizontal="center" vertical="center" wrapText="1"/>
    </xf>
    <xf numFmtId="41" fontId="4" fillId="0" borderId="1" xfId="0" applyNumberFormat="1" applyFont="1" applyFill="1" applyBorder="1" applyAlignment="1">
      <alignment horizontal="center" vertical="center" shrinkToFit="1"/>
    </xf>
    <xf numFmtId="0" fontId="4" fillId="0" borderId="1" xfId="0" applyFont="1" applyFill="1" applyBorder="1" applyAlignment="1">
      <alignment horizontal="left" vertical="center" wrapText="1"/>
    </xf>
    <xf numFmtId="177" fontId="4" fillId="0" borderId="1" xfId="0" applyNumberFormat="1" applyFont="1" applyFill="1" applyBorder="1" applyAlignment="1">
      <alignment horizontal="right" vertical="center" wrapText="1"/>
    </xf>
    <xf numFmtId="178" fontId="8" fillId="0" borderId="0" xfId="0" applyNumberFormat="1" applyFont="1" applyFill="1" applyBorder="1" applyAlignment="1">
      <alignment horizontal="right" vertical="center" wrapText="1"/>
    </xf>
    <xf numFmtId="0" fontId="2" fillId="0" borderId="1" xfId="0" applyFont="1" applyFill="1" applyBorder="1" applyAlignment="1">
      <alignment horizontal="center" vertical="center"/>
    </xf>
    <xf numFmtId="0" fontId="0" fillId="0" borderId="0" xfId="0" applyFont="1" applyFill="1" applyAlignment="1">
      <alignment vertical="center"/>
    </xf>
    <xf numFmtId="0" fontId="37" fillId="0" borderId="0" xfId="0" applyFont="1" applyFill="1" applyAlignment="1"/>
    <xf numFmtId="0" fontId="38" fillId="0" borderId="0" xfId="0" applyFont="1" applyFill="1" applyAlignment="1">
      <alignment vertical="center" wrapText="1"/>
    </xf>
    <xf numFmtId="0" fontId="27" fillId="0" borderId="0" xfId="0" applyFont="1" applyFill="1" applyAlignment="1">
      <alignment vertical="center" wrapText="1"/>
    </xf>
    <xf numFmtId="0" fontId="27" fillId="0" borderId="0" xfId="0" applyFont="1" applyFill="1" applyAlignment="1">
      <alignment vertical="center"/>
    </xf>
    <xf numFmtId="0" fontId="27" fillId="0" borderId="0" xfId="0" applyFont="1" applyFill="1" applyAlignment="1"/>
    <xf numFmtId="177" fontId="27" fillId="0" borderId="0" xfId="0" applyNumberFormat="1" applyFont="1" applyFill="1" applyAlignment="1">
      <alignment horizontal="center"/>
    </xf>
    <xf numFmtId="177" fontId="27" fillId="0" borderId="0" xfId="0" applyNumberFormat="1" applyFont="1" applyFill="1" applyAlignment="1"/>
    <xf numFmtId="177" fontId="0" fillId="0" borderId="0" xfId="0" applyNumberFormat="1" applyFont="1" applyFill="1" applyAlignment="1">
      <alignment vertical="center"/>
    </xf>
    <xf numFmtId="0" fontId="25" fillId="0" borderId="1" xfId="0" applyFont="1" applyFill="1" applyBorder="1" applyAlignment="1">
      <alignment horizontal="center" vertical="center"/>
    </xf>
    <xf numFmtId="0" fontId="25" fillId="0" borderId="2" xfId="0" applyFont="1" applyFill="1" applyBorder="1" applyAlignment="1">
      <alignment horizontal="center" vertical="center"/>
    </xf>
    <xf numFmtId="0" fontId="25" fillId="0" borderId="3" xfId="0" applyFont="1" applyFill="1" applyBorder="1" applyAlignment="1">
      <alignment horizontal="center" vertical="center"/>
    </xf>
    <xf numFmtId="177" fontId="38" fillId="0" borderId="1" xfId="0" applyNumberFormat="1" applyFont="1" applyFill="1" applyBorder="1" applyAlignment="1">
      <alignment horizontal="center" vertical="center" wrapText="1"/>
    </xf>
    <xf numFmtId="0" fontId="38"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7" fontId="27" fillId="0" borderId="1" xfId="0" applyNumberFormat="1" applyFont="1" applyFill="1" applyBorder="1" applyAlignment="1">
      <alignment horizontal="center" vertical="center" wrapText="1"/>
    </xf>
    <xf numFmtId="0" fontId="27" fillId="0" borderId="1" xfId="0" applyFont="1" applyFill="1" applyBorder="1" applyAlignment="1">
      <alignment vertical="center" wrapText="1"/>
    </xf>
    <xf numFmtId="177" fontId="27" fillId="0" borderId="1" xfId="0" applyNumberFormat="1" applyFont="1" applyFill="1" applyBorder="1" applyAlignment="1">
      <alignment vertical="center" wrapText="1"/>
    </xf>
    <xf numFmtId="177" fontId="27" fillId="0" borderId="1" xfId="0" applyNumberFormat="1" applyFont="1" applyFill="1" applyBorder="1" applyAlignment="1">
      <alignment horizontal="right" vertical="center" wrapText="1"/>
    </xf>
    <xf numFmtId="177" fontId="38" fillId="0" borderId="1" xfId="0" applyNumberFormat="1" applyFont="1" applyFill="1" applyBorder="1" applyAlignment="1">
      <alignment vertical="center" wrapText="1"/>
    </xf>
    <xf numFmtId="177" fontId="38" fillId="0" borderId="1" xfId="0" applyNumberFormat="1" applyFont="1" applyFill="1" applyBorder="1" applyAlignment="1">
      <alignment horizontal="right" vertical="center" wrapText="1"/>
    </xf>
    <xf numFmtId="177" fontId="27" fillId="0" borderId="0" xfId="0" applyNumberFormat="1" applyFont="1" applyFill="1" applyAlignment="1">
      <alignment horizontal="center" vertical="center"/>
    </xf>
    <xf numFmtId="177" fontId="27" fillId="0" borderId="0" xfId="0" applyNumberFormat="1" applyFont="1" applyFill="1" applyAlignment="1">
      <alignment vertical="center"/>
    </xf>
    <xf numFmtId="0" fontId="27" fillId="0" borderId="0" xfId="0" applyFont="1" applyFill="1"/>
    <xf numFmtId="0" fontId="0" fillId="0" borderId="0" xfId="0" applyNumberFormat="1" applyFont="1" applyFill="1" applyAlignment="1">
      <alignment vertical="center"/>
    </xf>
    <xf numFmtId="0" fontId="25" fillId="0" borderId="4" xfId="0" applyFont="1" applyFill="1" applyBorder="1" applyAlignment="1">
      <alignment horizontal="center" vertical="center"/>
    </xf>
    <xf numFmtId="177" fontId="25" fillId="0" borderId="1" xfId="0" applyNumberFormat="1" applyFont="1" applyFill="1" applyBorder="1" applyAlignment="1">
      <alignment horizontal="center" vertical="center"/>
    </xf>
    <xf numFmtId="0" fontId="2" fillId="0" borderId="0" xfId="0" applyFont="1" applyFill="1" applyAlignment="1">
      <alignment horizontal="right" vertical="center"/>
    </xf>
    <xf numFmtId="0" fontId="27" fillId="0" borderId="0" xfId="0" applyFont="1" applyFill="1" applyAlignment="1">
      <alignment horizontal="right" vertical="center"/>
    </xf>
    <xf numFmtId="0" fontId="2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77" fontId="27" fillId="0" borderId="4" xfId="0" applyNumberFormat="1" applyFont="1" applyFill="1" applyBorder="1" applyAlignment="1">
      <alignment vertical="center" wrapText="1"/>
    </xf>
    <xf numFmtId="0" fontId="27" fillId="0" borderId="4" xfId="0" applyFont="1" applyFill="1" applyBorder="1" applyAlignment="1">
      <alignment vertical="center" wrapText="1"/>
    </xf>
    <xf numFmtId="177" fontId="38" fillId="0" borderId="4" xfId="0" applyNumberFormat="1" applyFont="1" applyFill="1" applyBorder="1" applyAlignment="1">
      <alignment vertical="center" wrapText="1"/>
    </xf>
    <xf numFmtId="0" fontId="38" fillId="0" borderId="4" xfId="0" applyFont="1" applyFill="1" applyBorder="1" applyAlignment="1">
      <alignment vertical="center" wrapText="1"/>
    </xf>
    <xf numFmtId="177" fontId="8" fillId="0" borderId="0" xfId="0" applyNumberFormat="1" applyFont="1" applyFill="1" applyBorder="1" applyAlignment="1">
      <alignment vertical="center"/>
    </xf>
    <xf numFmtId="0" fontId="8" fillId="0" borderId="0" xfId="0" applyFont="1" applyFill="1" applyBorder="1" applyAlignment="1">
      <alignment vertical="center"/>
    </xf>
    <xf numFmtId="177" fontId="0" fillId="0" borderId="0" xfId="0" applyNumberFormat="1" applyFont="1" applyFill="1" applyBorder="1" applyAlignment="1">
      <alignment horizontal="center" vertical="center" wrapText="1"/>
    </xf>
    <xf numFmtId="178" fontId="0" fillId="0" borderId="0"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178" fontId="3" fillId="0" borderId="0" xfId="0" applyNumberFormat="1" applyFont="1" applyFill="1" applyBorder="1" applyAlignment="1">
      <alignment horizontal="center" vertical="center"/>
    </xf>
    <xf numFmtId="0" fontId="0" fillId="0" borderId="0" xfId="0" applyFill="1" applyBorder="1" applyAlignment="1">
      <alignment horizontal="left" vertical="center" wrapText="1"/>
    </xf>
    <xf numFmtId="177" fontId="0" fillId="0" borderId="0" xfId="0" applyNumberFormat="1" applyFill="1" applyBorder="1" applyAlignment="1">
      <alignment horizontal="center" vertical="center" wrapText="1"/>
    </xf>
    <xf numFmtId="178" fontId="2" fillId="0" borderId="0" xfId="0" applyNumberFormat="1" applyFont="1" applyFill="1" applyBorder="1" applyAlignment="1">
      <alignment horizontal="right" vertical="center" wrapText="1"/>
    </xf>
    <xf numFmtId="178" fontId="4"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right" vertical="center" wrapText="1"/>
    </xf>
    <xf numFmtId="177" fontId="12" fillId="0" borderId="1" xfId="0" applyNumberFormat="1" applyFont="1" applyFill="1" applyBorder="1" applyAlignment="1">
      <alignment vertical="center" wrapText="1"/>
    </xf>
    <xf numFmtId="0" fontId="8" fillId="0" borderId="1" xfId="0" applyFont="1" applyFill="1" applyBorder="1" applyAlignment="1">
      <alignment horizontal="center" vertical="center"/>
    </xf>
    <xf numFmtId="0" fontId="8" fillId="0" borderId="1" xfId="0" applyFont="1" applyFill="1" applyBorder="1" applyAlignment="1">
      <alignment vertical="center"/>
    </xf>
    <xf numFmtId="0" fontId="8" fillId="0" borderId="1" xfId="0" applyNumberFormat="1" applyFont="1" applyFill="1" applyBorder="1" applyAlignment="1" applyProtection="1">
      <alignment vertical="center" wrapText="1"/>
    </xf>
    <xf numFmtId="0" fontId="8" fillId="0" borderId="1" xfId="0" applyFont="1" applyFill="1" applyBorder="1" applyAlignment="1">
      <alignment vertical="center" wrapText="1"/>
    </xf>
    <xf numFmtId="177" fontId="8" fillId="0" borderId="1" xfId="0" applyNumberFormat="1" applyFont="1" applyFill="1" applyBorder="1" applyAlignment="1">
      <alignment horizontal="right" vertical="center" wrapText="1"/>
    </xf>
    <xf numFmtId="178" fontId="8" fillId="0" borderId="1" xfId="0" applyNumberFormat="1" applyFont="1" applyFill="1" applyBorder="1" applyAlignment="1">
      <alignment vertical="center" wrapText="1"/>
    </xf>
    <xf numFmtId="178" fontId="5" fillId="7" borderId="9" xfId="0" applyNumberFormat="1" applyFont="1" applyFill="1" applyBorder="1" applyAlignment="1">
      <alignment horizontal="center" vertical="center" wrapText="1"/>
    </xf>
    <xf numFmtId="0" fontId="2" fillId="0" borderId="10" xfId="0" applyFont="1" applyFill="1" applyBorder="1" applyAlignment="1">
      <alignment horizontal="center" vertical="center"/>
    </xf>
    <xf numFmtId="0" fontId="2" fillId="4" borderId="11" xfId="0" applyFont="1" applyFill="1" applyBorder="1" applyAlignment="1">
      <alignment horizontal="center" vertical="center" wrapText="1"/>
    </xf>
    <xf numFmtId="178" fontId="5" fillId="7" borderId="7"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2" fillId="4" borderId="12" xfId="0" applyFont="1" applyFill="1" applyBorder="1" applyAlignment="1">
      <alignment horizontal="center" vertical="center" wrapText="1"/>
    </xf>
    <xf numFmtId="177" fontId="12" fillId="0" borderId="2" xfId="0" applyNumberFormat="1" applyFont="1" applyFill="1" applyBorder="1" applyAlignment="1">
      <alignment vertical="center" wrapText="1"/>
    </xf>
    <xf numFmtId="177" fontId="12" fillId="0" borderId="13" xfId="0" applyNumberFormat="1" applyFont="1" applyFill="1" applyBorder="1" applyAlignment="1">
      <alignment vertical="center" wrapText="1"/>
    </xf>
    <xf numFmtId="177" fontId="8" fillId="0" borderId="13" xfId="0" applyNumberFormat="1" applyFont="1" applyFill="1" applyBorder="1" applyAlignment="1">
      <alignment vertical="center"/>
    </xf>
    <xf numFmtId="178" fontId="20" fillId="0" borderId="1" xfId="0" applyNumberFormat="1" applyFont="1" applyFill="1" applyBorder="1" applyAlignment="1">
      <alignment vertical="center"/>
    </xf>
    <xf numFmtId="0" fontId="20" fillId="0" borderId="2" xfId="0" applyFont="1" applyFill="1" applyBorder="1" applyAlignment="1">
      <alignment vertical="center"/>
    </xf>
    <xf numFmtId="0" fontId="8" fillId="0" borderId="13" xfId="0" applyFont="1" applyFill="1" applyBorder="1" applyAlignment="1">
      <alignment vertical="center"/>
    </xf>
    <xf numFmtId="178" fontId="20" fillId="0" borderId="13" xfId="0" applyNumberFormat="1" applyFont="1" applyFill="1" applyBorder="1" applyAlignment="1">
      <alignment vertical="center"/>
    </xf>
    <xf numFmtId="0" fontId="8" fillId="0" borderId="0" xfId="0" applyFont="1" applyFill="1" applyBorder="1" applyAlignment="1">
      <alignment vertical="center" wrapText="1"/>
    </xf>
    <xf numFmtId="178" fontId="20" fillId="2" borderId="1" xfId="0" applyNumberFormat="1" applyFont="1" applyFill="1" applyBorder="1" applyAlignment="1">
      <alignment vertical="center"/>
    </xf>
    <xf numFmtId="178" fontId="20" fillId="0" borderId="14" xfId="0" applyNumberFormat="1" applyFont="1" applyFill="1" applyBorder="1" applyAlignment="1">
      <alignment vertical="center"/>
    </xf>
    <xf numFmtId="0" fontId="20" fillId="0" borderId="15" xfId="0" applyFont="1" applyFill="1" applyBorder="1" applyAlignment="1">
      <alignment vertical="center"/>
    </xf>
    <xf numFmtId="0" fontId="8" fillId="0" borderId="16" xfId="0" applyFont="1" applyFill="1" applyBorder="1" applyAlignment="1">
      <alignment vertical="center"/>
    </xf>
    <xf numFmtId="184" fontId="3" fillId="0" borderId="0" xfId="0" applyNumberFormat="1" applyFont="1" applyFill="1" applyBorder="1" applyAlignment="1">
      <alignment vertical="center"/>
    </xf>
    <xf numFmtId="184" fontId="39" fillId="0" borderId="0" xfId="0" applyNumberFormat="1" applyFont="1" applyFill="1" applyBorder="1" applyAlignment="1">
      <alignment vertical="center"/>
    </xf>
    <xf numFmtId="0" fontId="4" fillId="0" borderId="0" xfId="0" applyFont="1" applyFill="1" applyBorder="1" applyAlignment="1">
      <alignment horizontal="center" vertical="center"/>
    </xf>
    <xf numFmtId="184" fontId="0" fillId="0" borderId="0" xfId="0" applyNumberFormat="1" applyFont="1" applyFill="1" applyBorder="1" applyAlignment="1">
      <alignment horizontal="left" vertical="center"/>
    </xf>
    <xf numFmtId="180" fontId="0" fillId="0" borderId="0" xfId="0" applyNumberFormat="1" applyFont="1" applyFill="1" applyBorder="1" applyAlignment="1">
      <alignment vertical="center"/>
    </xf>
    <xf numFmtId="0" fontId="0" fillId="0" borderId="0" xfId="0" applyFont="1" applyFill="1" applyBorder="1" applyAlignment="1">
      <alignment horizontal="right" vertical="center"/>
    </xf>
    <xf numFmtId="184" fontId="2" fillId="0" borderId="0" xfId="0" applyNumberFormat="1" applyFont="1" applyFill="1" applyBorder="1" applyAlignment="1">
      <alignment horizontal="left" vertical="center"/>
    </xf>
    <xf numFmtId="184" fontId="3" fillId="0" borderId="0" xfId="0" applyNumberFormat="1" applyFont="1" applyFill="1" applyBorder="1" applyAlignment="1">
      <alignment horizontal="center" vertical="center"/>
    </xf>
    <xf numFmtId="184" fontId="39"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184" fontId="2" fillId="0" borderId="1" xfId="0" applyNumberFormat="1" applyFont="1" applyFill="1" applyBorder="1" applyAlignment="1">
      <alignment horizontal="left" vertical="center" wrapText="1"/>
    </xf>
    <xf numFmtId="180" fontId="2" fillId="0" borderId="1" xfId="0" applyNumberFormat="1" applyFont="1" applyFill="1" applyBorder="1" applyAlignment="1">
      <alignment vertical="center" wrapText="1"/>
    </xf>
    <xf numFmtId="184" fontId="3" fillId="0" borderId="0" xfId="0" applyNumberFormat="1" applyFont="1" applyFill="1" applyBorder="1" applyAlignment="1">
      <alignment horizontal="right" vertical="center"/>
    </xf>
    <xf numFmtId="184" fontId="3" fillId="0" borderId="0" xfId="0" applyNumberFormat="1" applyFont="1" applyFill="1" applyBorder="1" applyAlignment="1">
      <alignment horizontal="center" vertical="center" wrapText="1"/>
    </xf>
    <xf numFmtId="184" fontId="39" fillId="0" borderId="0" xfId="0" applyNumberFormat="1" applyFont="1" applyFill="1" applyBorder="1" applyAlignment="1">
      <alignment horizontal="right" vertical="center"/>
    </xf>
    <xf numFmtId="184" fontId="2" fillId="0" borderId="0" xfId="0" applyNumberFormat="1" applyFont="1" applyFill="1" applyBorder="1" applyAlignment="1">
      <alignment horizontal="right" vertical="center" wrapText="1"/>
    </xf>
    <xf numFmtId="177" fontId="8" fillId="0" borderId="1" xfId="0" applyNumberFormat="1" applyFont="1" applyFill="1" applyBorder="1" applyAlignment="1">
      <alignment horizontal="right" vertical="center"/>
    </xf>
    <xf numFmtId="0" fontId="2" fillId="0" borderId="1" xfId="0" applyNumberFormat="1" applyFont="1" applyFill="1" applyBorder="1" applyAlignment="1">
      <alignment horizontal="left" vertical="center" wrapText="1"/>
    </xf>
    <xf numFmtId="0" fontId="32" fillId="0" borderId="1" xfId="0" applyNumberFormat="1" applyFont="1" applyFill="1" applyBorder="1" applyAlignment="1" applyProtection="1">
      <alignment vertical="center" wrapText="1"/>
    </xf>
    <xf numFmtId="184" fontId="4"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right" vertical="center"/>
    </xf>
    <xf numFmtId="0" fontId="24" fillId="0" borderId="0" xfId="0" applyFont="1" applyAlignment="1">
      <alignment vertical="center"/>
    </xf>
    <xf numFmtId="0" fontId="2" fillId="0" borderId="0" xfId="0" applyFont="1" applyAlignment="1">
      <alignment vertical="center" wrapText="1"/>
    </xf>
    <xf numFmtId="0" fontId="25" fillId="0" borderId="0" xfId="0" applyFont="1" applyAlignment="1">
      <alignment vertical="center"/>
    </xf>
    <xf numFmtId="0" fontId="0" fillId="0" borderId="0" xfId="0" applyFont="1" applyAlignment="1">
      <alignment horizontal="center" vertical="center"/>
    </xf>
    <xf numFmtId="0" fontId="0" fillId="0" borderId="0" xfId="0" applyFont="1" applyAlignment="1">
      <alignment vertical="center"/>
    </xf>
    <xf numFmtId="0" fontId="3" fillId="0" borderId="0" xfId="0" applyNumberFormat="1" applyFont="1" applyFill="1" applyAlignment="1">
      <alignment horizontal="center" vertical="center"/>
    </xf>
    <xf numFmtId="0" fontId="24" fillId="0" borderId="0" xfId="0" applyFont="1" applyFill="1" applyAlignment="1">
      <alignment vertical="center"/>
    </xf>
    <xf numFmtId="177" fontId="24" fillId="0" borderId="0" xfId="0" applyNumberFormat="1" applyFont="1" applyFill="1" applyAlignment="1">
      <alignment vertical="center"/>
    </xf>
    <xf numFmtId="0" fontId="24" fillId="0" borderId="0" xfId="0" applyNumberFormat="1" applyFont="1" applyFill="1" applyAlignment="1">
      <alignment vertical="center"/>
    </xf>
    <xf numFmtId="177" fontId="2" fillId="0" borderId="1" xfId="0" applyNumberFormat="1" applyFont="1" applyFill="1" applyBorder="1"/>
    <xf numFmtId="0" fontId="2" fillId="0" borderId="1" xfId="0" applyNumberFormat="1" applyFont="1" applyFill="1" applyBorder="1"/>
    <xf numFmtId="177" fontId="4" fillId="0" borderId="1" xfId="0" applyNumberFormat="1" applyFont="1" applyFill="1" applyBorder="1" applyAlignment="1">
      <alignment horizontal="center" vertical="center" shrinkToFit="1"/>
    </xf>
    <xf numFmtId="0" fontId="2" fillId="0" borderId="14" xfId="0" applyFont="1" applyFill="1" applyBorder="1" applyAlignment="1">
      <alignment horizontal="left" vertical="center"/>
    </xf>
    <xf numFmtId="177" fontId="2" fillId="0" borderId="14" xfId="1" applyNumberFormat="1" applyFont="1" applyFill="1" applyBorder="1" applyAlignment="1">
      <alignment horizontal="right" vertical="center"/>
    </xf>
    <xf numFmtId="177" fontId="2" fillId="0" borderId="14" xfId="0" applyNumberFormat="1" applyFont="1" applyFill="1" applyBorder="1" applyAlignment="1">
      <alignment horizontal="right" vertical="center"/>
    </xf>
    <xf numFmtId="0" fontId="4" fillId="0" borderId="7" xfId="0" applyFont="1" applyFill="1" applyBorder="1" applyAlignment="1">
      <alignment horizontal="left" vertical="center"/>
    </xf>
    <xf numFmtId="177" fontId="4" fillId="0" borderId="7" xfId="1" applyNumberFormat="1" applyFont="1" applyFill="1" applyBorder="1" applyAlignment="1">
      <alignment horizontal="right" vertical="center"/>
    </xf>
    <xf numFmtId="0" fontId="4" fillId="0" borderId="1" xfId="0" applyNumberFormat="1" applyFont="1" applyFill="1" applyBorder="1" applyAlignment="1">
      <alignment horizontal="center" vertical="center" shrinkToFit="1"/>
    </xf>
    <xf numFmtId="0" fontId="0" fillId="0" borderId="0" xfId="0" applyAlignment="1">
      <alignment vertical="center"/>
    </xf>
    <xf numFmtId="0" fontId="4" fillId="0" borderId="7" xfId="0" applyFont="1" applyFill="1" applyBorder="1" applyAlignment="1">
      <alignment vertical="center"/>
    </xf>
    <xf numFmtId="0" fontId="40" fillId="0" borderId="0" xfId="0" applyFont="1" applyAlignment="1">
      <alignment horizontal="left"/>
    </xf>
    <xf numFmtId="0" fontId="40" fillId="0" borderId="0" xfId="0" applyFont="1"/>
    <xf numFmtId="0" fontId="41" fillId="0" borderId="0" xfId="0" applyFont="1" applyAlignment="1">
      <alignment horizontal="center"/>
    </xf>
    <xf numFmtId="0" fontId="40" fillId="0" borderId="0" xfId="0" applyFont="1" applyAlignment="1">
      <alignment horizontal="center"/>
    </xf>
    <xf numFmtId="0" fontId="40" fillId="0" borderId="0" xfId="0" applyFont="1" applyAlignment="1">
      <alignment horizontal="right"/>
    </xf>
    <xf numFmtId="0" fontId="41" fillId="0" borderId="0" xfId="0" applyFont="1" applyAlignment="1"/>
    <xf numFmtId="0" fontId="40" fillId="0" borderId="0" xfId="0" applyFont="1" applyAlignment="1"/>
    <xf numFmtId="0" fontId="2" fillId="0" borderId="1" xfId="0" applyFont="1" applyFill="1" applyBorder="1" applyAlignment="1" quotePrefix="1">
      <alignment vertical="center"/>
    </xf>
    <xf numFmtId="0" fontId="2" fillId="0" borderId="1" xfId="0" applyFont="1" applyFill="1" applyBorder="1" applyAlignment="1" quotePrefix="1">
      <alignment horizontal="left" vertical="center"/>
    </xf>
    <xf numFmtId="0" fontId="2" fillId="0" borderId="14" xfId="0" applyFont="1" applyFill="1" applyBorder="1" applyAlignment="1" quotePrefix="1">
      <alignment horizontal="left" vertical="center"/>
    </xf>
    <xf numFmtId="0" fontId="2" fillId="0" borderId="1" xfId="0" applyFont="1" applyFill="1" applyBorder="1" applyAlignment="1" quotePrefix="1">
      <alignment horizontal="left" vertical="center" wrapText="1"/>
    </xf>
  </cellXfs>
  <cellStyles count="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4 3" xfId="49"/>
    <cellStyle name="常规 10 2 2 3" xfId="50"/>
    <cellStyle name="常规 195" xfId="51"/>
    <cellStyle name="常规 10" xfId="52"/>
    <cellStyle name="常规 30" xfId="53"/>
    <cellStyle name="常规 33" xfId="54"/>
    <cellStyle name="常规 197" xfId="55"/>
    <cellStyle name="常规 193" xfId="56"/>
    <cellStyle name="常规 194" xfId="57"/>
    <cellStyle name="常规 2 5" xfId="58"/>
    <cellStyle name="常规 3" xfId="59"/>
    <cellStyle name="常规 32 2" xfId="60"/>
    <cellStyle name="常规_2006区级预算追加情况表" xfId="61"/>
    <cellStyle name="千位分隔 15" xfId="62"/>
    <cellStyle name="千位分隔 2 10" xfId="63"/>
    <cellStyle name="千位分隔 3" xfId="64"/>
    <cellStyle name="常规_Sheet2" xfId="65"/>
  </cellStyles>
  <tableStyles count="0" defaultTableStyle="TableStyleMedium9"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sharedStrings" Target="sharedStrings.xml"/><Relationship Id="rId58" Type="http://schemas.openxmlformats.org/officeDocument/2006/relationships/theme" Target="theme/theme1.xml"/><Relationship Id="rId57" Type="http://schemas.openxmlformats.org/officeDocument/2006/relationships/externalLink" Target="externalLinks/externalLink39.xml"/><Relationship Id="rId56" Type="http://schemas.openxmlformats.org/officeDocument/2006/relationships/externalLink" Target="externalLinks/externalLink38.xml"/><Relationship Id="rId55" Type="http://schemas.openxmlformats.org/officeDocument/2006/relationships/externalLink" Target="externalLinks/externalLink37.xml"/><Relationship Id="rId54" Type="http://schemas.openxmlformats.org/officeDocument/2006/relationships/externalLink" Target="externalLinks/externalLink36.xml"/><Relationship Id="rId53" Type="http://schemas.openxmlformats.org/officeDocument/2006/relationships/externalLink" Target="externalLinks/externalLink35.xml"/><Relationship Id="rId52" Type="http://schemas.openxmlformats.org/officeDocument/2006/relationships/externalLink" Target="externalLinks/externalLink34.xml"/><Relationship Id="rId51" Type="http://schemas.openxmlformats.org/officeDocument/2006/relationships/externalLink" Target="externalLinks/externalLink33.xml"/><Relationship Id="rId50" Type="http://schemas.openxmlformats.org/officeDocument/2006/relationships/externalLink" Target="externalLinks/externalLink32.xml"/><Relationship Id="rId5" Type="http://schemas.openxmlformats.org/officeDocument/2006/relationships/worksheet" Target="worksheets/sheet5.xml"/><Relationship Id="rId49" Type="http://schemas.openxmlformats.org/officeDocument/2006/relationships/externalLink" Target="externalLinks/externalLink31.xml"/><Relationship Id="rId48" Type="http://schemas.openxmlformats.org/officeDocument/2006/relationships/externalLink" Target="externalLinks/externalLink30.xml"/><Relationship Id="rId47" Type="http://schemas.openxmlformats.org/officeDocument/2006/relationships/externalLink" Target="externalLinks/externalLink29.xml"/><Relationship Id="rId46" Type="http://schemas.openxmlformats.org/officeDocument/2006/relationships/externalLink" Target="externalLinks/externalLink28.xml"/><Relationship Id="rId45" Type="http://schemas.openxmlformats.org/officeDocument/2006/relationships/externalLink" Target="externalLinks/externalLink27.xml"/><Relationship Id="rId44" Type="http://schemas.openxmlformats.org/officeDocument/2006/relationships/externalLink" Target="externalLinks/externalLink26.xml"/><Relationship Id="rId43" Type="http://schemas.openxmlformats.org/officeDocument/2006/relationships/externalLink" Target="externalLinks/externalLink25.xml"/><Relationship Id="rId42" Type="http://schemas.openxmlformats.org/officeDocument/2006/relationships/externalLink" Target="externalLinks/externalLink24.xml"/><Relationship Id="rId41" Type="http://schemas.openxmlformats.org/officeDocument/2006/relationships/externalLink" Target="externalLinks/externalLink23.xml"/><Relationship Id="rId40" Type="http://schemas.openxmlformats.org/officeDocument/2006/relationships/externalLink" Target="externalLinks/externalLink22.xml"/><Relationship Id="rId4" Type="http://schemas.openxmlformats.org/officeDocument/2006/relationships/worksheet" Target="worksheets/sheet4.xml"/><Relationship Id="rId39" Type="http://schemas.openxmlformats.org/officeDocument/2006/relationships/externalLink" Target="externalLinks/externalLink21.xml"/><Relationship Id="rId38" Type="http://schemas.openxmlformats.org/officeDocument/2006/relationships/externalLink" Target="externalLinks/externalLink20.xml"/><Relationship Id="rId37" Type="http://schemas.openxmlformats.org/officeDocument/2006/relationships/externalLink" Target="externalLinks/externalLink19.xml"/><Relationship Id="rId36" Type="http://schemas.openxmlformats.org/officeDocument/2006/relationships/externalLink" Target="externalLinks/externalLink18.xml"/><Relationship Id="rId35" Type="http://schemas.openxmlformats.org/officeDocument/2006/relationships/externalLink" Target="externalLinks/externalLink17.xml"/><Relationship Id="rId34" Type="http://schemas.openxmlformats.org/officeDocument/2006/relationships/externalLink" Target="externalLinks/externalLink16.xml"/><Relationship Id="rId33" Type="http://schemas.openxmlformats.org/officeDocument/2006/relationships/externalLink" Target="externalLinks/externalLink15.xml"/><Relationship Id="rId32" Type="http://schemas.openxmlformats.org/officeDocument/2006/relationships/externalLink" Target="externalLinks/externalLink14.xml"/><Relationship Id="rId31" Type="http://schemas.openxmlformats.org/officeDocument/2006/relationships/externalLink" Target="externalLinks/externalLink13.xml"/><Relationship Id="rId30" Type="http://schemas.openxmlformats.org/officeDocument/2006/relationships/externalLink" Target="externalLinks/externalLink12.xml"/><Relationship Id="rId3" Type="http://schemas.openxmlformats.org/officeDocument/2006/relationships/worksheet" Target="worksheets/sheet3.xml"/><Relationship Id="rId29" Type="http://schemas.openxmlformats.org/officeDocument/2006/relationships/externalLink" Target="externalLinks/externalLink11.xml"/><Relationship Id="rId28" Type="http://schemas.openxmlformats.org/officeDocument/2006/relationships/externalLink" Target="externalLinks/externalLink10.xml"/><Relationship Id="rId27" Type="http://schemas.openxmlformats.org/officeDocument/2006/relationships/externalLink" Target="externalLinks/externalLink9.xml"/><Relationship Id="rId26" Type="http://schemas.openxmlformats.org/officeDocument/2006/relationships/externalLink" Target="externalLinks/externalLink8.xml"/><Relationship Id="rId25" Type="http://schemas.openxmlformats.org/officeDocument/2006/relationships/externalLink" Target="externalLinks/externalLink7.xml"/><Relationship Id="rId24" Type="http://schemas.openxmlformats.org/officeDocument/2006/relationships/externalLink" Target="externalLinks/externalLink6.xml"/><Relationship Id="rId23" Type="http://schemas.openxmlformats.org/officeDocument/2006/relationships/externalLink" Target="externalLinks/externalLink5.xml"/><Relationship Id="rId22" Type="http://schemas.openxmlformats.org/officeDocument/2006/relationships/externalLink" Target="externalLinks/externalLink4.xml"/><Relationship Id="rId21" Type="http://schemas.openxmlformats.org/officeDocument/2006/relationships/externalLink" Target="externalLinks/externalLink3.xml"/><Relationship Id="rId20" Type="http://schemas.openxmlformats.org/officeDocument/2006/relationships/externalLink" Target="externalLinks/externalLink2.xml"/><Relationship Id="rId2" Type="http://schemas.openxmlformats.org/officeDocument/2006/relationships/worksheet" Target="worksheets/sheet2.xml"/><Relationship Id="rId19" Type="http://schemas.openxmlformats.org/officeDocument/2006/relationships/externalLink" Target="externalLinks/externalLink1.xml"/><Relationship Id="rId18" Type="http://schemas.openxmlformats.org/officeDocument/2006/relationships/customXml" Target="../customXml/item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Documents%20and%20Settings\User\&#26700;&#38754;\&#35838;&#39064;\&#21382;&#24180;&#22269;&#23478;&#20915;&#31639;\1993-2002&#24180;&#22269;&#23478;&#25910;&#20837;&#27604;&#36739;&#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1382;&#24180;&#22269;&#23478;&#20915;&#31639;\1993-2002&#24180;&#22269;&#23478;&#25910;&#20837;&#27604;&#36739;&#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ocuments%20and%20Settings\User\&#26700;&#38754;\&#35838;&#39064;\&#26032;&#24314;&#25991;&#20214;&#22841;\&#35838;&#39064;&#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6032;&#24314;&#25991;&#20214;&#22841;\&#35838;&#39064;&#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INSERVER\private\XHC\XLS\X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19977;&#26041;&#23545;&#36134;&#21333;%20(version%201).xlsb"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2.7\&#37329;&#34701;&#31185;\Users\sucy\AppData\Local\Temp\NTKOFTmpFiles\04-&#22269;&#21153;&#38498;&#19987;&#39033;&#35843;&#30740;\201709090%20&#22320;&#26041;&#19978;&#25253;&#38544;&#24615;&#20538;&#21153;&#25237;&#21521;&#24773;&#20917;&#65288;&#27743;&#33487;&#12289;&#28246;&#21335;&#12289;&#20113;&#21335;&#12289;&#20869;&#33945;&#21476;&#12289;&#40657;&#40857;&#27743;&#25968;&#25454;&#65289;&#12304;&#20998;&#39033;&#30446;&#31867;&#22411;&#12305;\&#34917;&#20805;&#39033;&#30446;&#31867;&#22411;\2017&#24180;\&#25919;&#24220;&#24615;&#20538;&#21153;\20170829%20%20&#21452;&#23792;&#38544;&#24615;&#20538;&#21153;&#32479;&#35745;&#22871;&#34920;--&#34917;&#39033;&#30446;&#31867;&#22411;\&#21508;&#21333;&#20301;&#19978;&#25253;\&#22478;&#24314;&#25237;%20%20&#21452;%20&#23792;&#38544;&#24615;&#20538;&#21153;&#32479;&#35745;&#22871;&#34920;--&#34917;&#39033;&#30446;&#31867;&#2241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0.128.2.15\&#21508;&#22320;&#39044;&#31639;\bugdet-server\BY\YS3\97&#20915;&#31639;&#21306;&#21439;&#26368;&#21518;&#27719;&#2463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10.1.2.7\&#37329;&#34701;&#31185;\&#23384;&#26723;&#25991;&#20214;\04-&#22269;&#21153;&#38498;&#19987;&#39033;&#35843;&#30740;\05%205&#30465;&#19978;&#25253;&#25968;&#25454;\&#28246;&#21335;&#30465;&#38544;&#24615;&#20538;&#21153;&#32479;&#35745;&#22871;&#34920;&#65288;20170829&#65289;&#12304;&#36820;&#20113;&#21335;&#36130;&#25919;&#21381;&#34917;&#25968;&#12305;-&#34917;&#39033;&#30446;&#31867;&#2241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0.1.2.7\&#37329;&#34701;&#31185;\AnyShare%20(2)\&#39044;&#31639;&#21496;\&#20538;&#21153;&#22788;\0.&#20013;&#36716;\&#19977;&#30465;&#25968;&#25454;%20(2)\&#27743;&#33487;&#12289;&#28246;&#21335;&#12289;&#20113;&#21335;&#25968;&#25454;&#65288;20170830&#65289;&#12304;&#20998;&#39033;&#30446;&#31867;&#22411;&#12305;\&#27743;&#33487;&#30465;&#25130;&#33267;2017&#24180;6&#26376;&#26411;&#26377;&#20851;&#24773;&#20917;&#27719;&#24635;&#32479;&#35745;&#34920;(20170829)&#12304;&#36820;&#27743;&#33487;&#36130;&#25919;&#21381;&#34917;&#25968;&#12305;-&#34917;&#39033;&#30446;&#31867;&#22411;&#65288;2017.8.30&#20013;&#21320;&#19978;&#25253;&#65289;&#12304;2&#31295;&#65292;&#25968;&#25454;&#24050;&#20998;&#31867;&#1230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0.1.2.7\&#37329;&#34701;&#31185;\&#25509;&#25910;&#25991;&#20214;\&#22320;&#26041;&#25919;&#24220;&#34701;&#36164;&#24179;&#21488;&#20844;&#21496;&#20538;&#21153;&#31561;&#24773;&#20917;&#34920;&#65288;&#26032;20170729&#65289;.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esktop\&#20648;&#22791;&#39033;&#30446;\&#65288;&#8730;&#65289;2020.03.21-2020&#24180;&#22320;&#26041;&#25919;&#24220;&#26032;&#22686;&#20538;&#21048;&#38656;&#27714;&#34920;&#65288;&#20840;&#37096;&#6528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EXCEL\&#26412;&#20070;&#33539;&#20363;\chap5\chap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0.128.2.15\&#21508;&#22320;&#39044;&#31639;\2011&#24180;&#22320;&#26041;&#20538;&#21048;&#39033;&#30446;&#35843;&#25972;&#65288;06.15&#65289;\&#38468;&#20214;1&#65306;&#20538;&#21153;&#39069;&#24230;&#20998;&#37197;&#3492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10&#21439;&#32423;&#25104;&#26412;&#24046;&#24322;&#31995;&#25968;(0902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22522;&#30784;&#25968;&#25454;&#34920;031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6449;&#3242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2007&#24180;&#22320;&#26041;&#25919;&#24220;&#24615;&#20538;&#21153;&#25253;&#34920;&#27719;&#24635;&#65288;20080708&#65289;&#12304;&#23450;&#31295;&#12305;.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309;&#26126;&#29113;\&#22791;&#26597;&#36164;&#26009;\2010&#24180;&#20538;&#21153;&#25253;&#34920;\&#34701;&#36164;&#24179;&#21488;&#20844;&#21496;&#20538;&#21153;&#28165;&#29702;&#26680;&#23454;&#25253;&#34920;\&#24405;&#20837;&#34920;\9&#26376;20&#26085;&#29256;&#26412;\&#34701;&#36164;&#24179;&#21488;&#20844;&#21496;&#20538;&#21153;&#28165;&#29702;&#26680;&#23454;&#24773;&#20917;&#24405;&#20837;&#34920;&#65288;20100920&#6528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H:\01&#27719;&#24635;&#34701;&#36164;&#24179;&#21488;&#21517;&#21333;&#21644;&#20313;&#39069;&#34920;&#26680;&#23545;&#34920;&#65288;&#27491;&#24335;&#34920;&#65292;&#21516;&#38134;&#30417;&#26680;&#23545;&#21069;&#6528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5104;&#26412;&#24046;&#24322;&#31995;&#25968;032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998;&#32423;&#23454;&#38469;&#25903;&#20986;&#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1160;&#24577;&#26597;&#35810;&#25968;&#2545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ocuments%20and%20Settings\sz005933\&#26700;&#38754;\&#28145;&#22323;&#25311;&#25253;&#38134;&#30417;&#20250;&#25919;&#24220;&#24179;&#21488;&#28165;&#29702;&#22522;&#30784;&#34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30465;&#25253;&#20915;&#31639;\2021&#28246;&#21271;&#30465;.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34920;031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Z:\bugdet-server\&#20307;&#21046;&#31649;&#29702;&#22788;\02&#19968;&#33324;&#36716;&#31227;&#25903;&#20184;\2014&#24180;&#22343;&#34913;&#24615;&#36716;&#31227;&#25903;&#20184;\02-&#21021;&#27493;&#32467;&#26524;\0421\&#24635;&#34920;-&#21152;&#35268;&#27169;&#21152;&#25903;&#20986;.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998;&#21439;&#21306;&#25910;&#38598;&#34920;&#26684;\03&#25856;&#26525;&#33457;\&#25856;&#26525;&#33457;&#24066;&#24066;&#26412;&#32423;&#36335;&#26725;&#24314;&#35774;&#24320;&#21457;&#26377;&#38480;&#36131;&#20219;&#20844;&#21496;&#20538;&#21153;&#28165;&#29702;&#26680;&#23454;&#24773;&#20917;&#349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10.128.2.15\&#21508;&#22320;&#39044;&#31639;\&#36130;&#25919;&#20379;&#20859;&#20154;&#21592;&#20449;&#24687;&#34920;\&#25945;&#32946;\&#27896;&#27700;&#22235;&#2001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Documents%20and%20Settings\Administrator\Application%20Data\Microsoft\Excel\2007&#24180;&#22320;&#26041;&#25919;&#24220;&#24615;&#20538;&#21153;&#25253;&#34920;&#27719;&#24635;&#65288;20080708&#65289;&#12304;&#23450;&#31295;&#12305;.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下拉选项"/>
      <sheetName val="Sheet2"/>
      <sheetName val="mmm"/>
      <sheetName val="基础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人民银行"/>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2007"/>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Kx"/>
      <sheetName val="C01-1"/>
      <sheetName val="P1012001"/>
      <sheetName val="表二"/>
      <sheetName val="表五"/>
      <sheetName val="2012.2.2 (整合)"/>
      <sheetName val="2012.2.2"/>
      <sheetName val="全市结转"/>
      <sheetName val="提前告知数"/>
      <sheetName val="2012年财力"/>
      <sheetName val="类型"/>
      <sheetName val="人民银行"/>
      <sheetName val="中央"/>
      <sheetName val="2007"/>
      <sheetName val="#REF"/>
      <sheetName val="四月份月报"/>
      <sheetName val="单位编码"/>
      <sheetName val="DDETABLE "/>
      <sheetName val="Sheet2"/>
      <sheetName val="下拉选项"/>
      <sheetName val="经费权重"/>
      <sheetName val="mmm"/>
      <sheetName val="人员支出"/>
      <sheetName val="Financ. Overview"/>
      <sheetName val="Tool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人民银行"/>
      <sheetName val="银监部门"/>
      <sheetName val="财政部门"/>
      <sheetName val="三方对账表"/>
      <sheetName val="三方对账表 (2)"/>
      <sheetName val="三方对账表 (3)"/>
      <sheetName val="Sheet1"/>
      <sheetName val="下拉选项"/>
      <sheetName val="Sheet2"/>
    </sheetNames>
    <sheetDataSet>
      <sheetData sheetId="0"/>
      <sheetData sheetId="1"/>
      <sheetData sheetId="2"/>
      <sheetData sheetId="3"/>
      <sheetData sheetId="4"/>
      <sheetData sheetId="5"/>
      <sheetData sheetId="6"/>
      <sheetData sheetId="7"/>
      <sheetData sheetId="8"/>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表4"/>
      <sheetName val="表5"/>
      <sheetName val="表6"/>
      <sheetName val="项目类型"/>
    </sheetNames>
    <sheetDataSet>
      <sheetData sheetId="0" refreshError="1"/>
      <sheetData sheetId="1" refreshError="1"/>
      <sheetData sheetId="2" refreshError="1"/>
      <sheetData sheetId="3"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1012001"/>
      <sheetName val="有效性列表"/>
      <sheetName val="区划对应表"/>
      <sheetName val="项目类型"/>
    </sheetNames>
    <sheetDataSet>
      <sheetData sheetId="0" refreshError="1"/>
      <sheetData sheetId="1" refreshError="1"/>
      <sheetData sheetId="2" refreshError="1"/>
      <sheetData sheetId="3"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Sheet3"/>
      <sheetName val="各年度收费、罚没、专项收入.xls_Sheet3"/>
      <sheetName val="区划对应表"/>
      <sheetName val="1-4余额表"/>
      <sheetName val="表二"/>
      <sheetName val="表五"/>
      <sheetName val="2012.2.2 (整合)"/>
      <sheetName val="2012.2.2"/>
      <sheetName val="全市结转"/>
      <sheetName val="提前告知数"/>
      <sheetName val="总人口"/>
      <sheetName val="基础编码"/>
      <sheetName val="省本级收入预计"/>
      <sheetName val="四月份月报"/>
      <sheetName val="XL4Poppy"/>
      <sheetName val="DDETABLE "/>
      <sheetName val="#REF"/>
      <sheetName val="中央"/>
      <sheetName val="01北京市"/>
      <sheetName val="2000地方"/>
      <sheetName val="有效性列表"/>
      <sheetName val="录入表"/>
      <sheetName val="DY-（调整特殊因素）增量对应重点（汇报）"/>
      <sheetName val="C01-1"/>
      <sheetName val="mx"/>
      <sheetName val="单位编码"/>
      <sheetName val="差异系数"/>
      <sheetName val="data"/>
      <sheetName val="Financ. Overview"/>
      <sheetName val="Toolbox"/>
      <sheetName val="Main"/>
      <sheetName val="_ESList"/>
      <sheetName val="一般预算收入"/>
      <sheetName val="表二 汇总表（业务处填）"/>
      <sheetName val="KKKKKKKK"/>
      <sheetName val="农业人口"/>
      <sheetName val="Open"/>
      <sheetName val="事业发展"/>
      <sheetName val="公检法司编制"/>
      <sheetName val="行政编制"/>
      <sheetName val="人民银行"/>
      <sheetName val="2009"/>
      <sheetName val="GDP"/>
      <sheetName val="本年收入合计"/>
      <sheetName val="财政部和发改委范围"/>
      <sheetName val="POWER ASSUMPTIONS"/>
      <sheetName val="2007"/>
      <sheetName val="国家"/>
      <sheetName val="分类"/>
      <sheetName val="市级专项格式"/>
      <sheetName val="1-1余额表"/>
      <sheetName val="2-11担保分级表"/>
      <sheetName val="2-7一般分级表"/>
      <sheetName val="2-1余额分级表"/>
      <sheetName val="2-5直接分级表"/>
      <sheetName val="2-9专项分级表"/>
      <sheetName val="工商税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封面"/>
      <sheetName val="表1"/>
      <sheetName val="表2"/>
      <sheetName val="表3"/>
      <sheetName val="表4"/>
      <sheetName val="表5"/>
      <sheetName val="表6"/>
      <sheetName val="Sheet1"/>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表1 （打印版）"/>
      <sheetName val="表2 （市县打印版）"/>
      <sheetName val="表3（打印版）"/>
      <sheetName val="表4"/>
      <sheetName val="表5"/>
      <sheetName val="表6"/>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封面"/>
      <sheetName val="目录"/>
      <sheetName val="1-1.资金来源汇总表"/>
      <sheetName val="1-2.资金投向汇总表"/>
      <sheetName val="1-3.政府承诺偿还的债务余额明细表"/>
      <sheetName val="1-4.政府提供担保的债务余额明细表"/>
      <sheetName val="2-1.政府支出事项总表"/>
      <sheetName val="2-2.政府支出事项对应项目情况"/>
      <sheetName val="2-3.政府支出事项明细表 "/>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2020年地方政府新增债券需求情况汇总表"/>
      <sheetName val="提前批"/>
      <sheetName val="第2批一般债券"/>
      <sheetName val="第2批专项债券"/>
      <sheetName val="项目类型1"/>
      <sheetName val="第2批专项债券（简表）"/>
      <sheetName val="DB"/>
      <sheetName val="db3"/>
    </sheetNames>
    <sheetDataSet>
      <sheetData sheetId="0"/>
      <sheetData sheetId="1"/>
      <sheetData sheetId="2"/>
      <sheetData sheetId="3"/>
      <sheetData sheetId="4"/>
      <sheetData sheetId="5"/>
      <sheetData sheetId="6"/>
      <sheetData sheetId="7"/>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chap5_4"/>
      <sheetName val="chap5_3"/>
      <sheetName val="chap5_2"/>
      <sheetName val="Chap5_1"/>
    </sheetNames>
    <sheetDataSet>
      <sheetData sheetId="0"/>
      <sheetData sheetId="1"/>
      <sheetData sheetId="2"/>
      <sheetData sheetId="3"/>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债券分配统计（未调整前）"/>
      <sheetName val="分配计算表（非扩权县）"/>
      <sheetName val="分配计算表（扩权县）"/>
      <sheetName val="基础数据汇总表"/>
      <sheetName val="基1项目需求"/>
      <sheetName val="基2举债空间"/>
      <sheetName val="需财政资金偿还债务"/>
      <sheetName val="债务逾期表"/>
      <sheetName val="2010年财力表"/>
      <sheetName val="04-09可用财力"/>
      <sheetName val="融资平台投资需求"/>
      <sheetName val="公路里程"/>
      <sheetName val="基础编码"/>
      <sheetName val="1-4余额表"/>
      <sheetName val="C01-1"/>
      <sheetName val="差异系数"/>
      <sheetName val="data"/>
      <sheetName val="中央"/>
      <sheetName val="P1012001"/>
      <sheetName val="基础数据"/>
      <sheetName val="01北京市"/>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1-1余额表"/>
      <sheetName val="2-11担保分级表"/>
      <sheetName val="2-7一般分级表"/>
      <sheetName val="2-1余额分级表"/>
      <sheetName val="2-5直接分级表"/>
      <sheetName val="2-9专项分级表"/>
      <sheetName val="基础数据"/>
      <sheetName val="中央"/>
      <sheetName val="公路里程"/>
      <sheetName val="区划对应表"/>
      <sheetName val="基础编码"/>
      <sheetName val="四月份月报"/>
      <sheetName val="Sheet1"/>
      <sheetName val="1-4余额表"/>
      <sheetName val="P1012001"/>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2007"/>
      <sheetName val="2009"/>
      <sheetName val="第6行"/>
      <sheetName val="动态分析报表"/>
      <sheetName val="C01-1"/>
      <sheetName val="公路里程"/>
      <sheetName val="参数表"/>
      <sheetName val="差异系数"/>
      <sheetName val="data"/>
      <sheetName val="中央"/>
      <sheetName val="01北京市"/>
      <sheetName val="经费权重"/>
      <sheetName val="四月份月报"/>
      <sheetName val="Sheet1"/>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L24"/>
      <sheetName val="08村级"/>
      <sheetName val="经费权重"/>
      <sheetName val="参数表"/>
      <sheetName val="2009"/>
      <sheetName val="分县数据"/>
      <sheetName val="基础编码"/>
      <sheetName val="公路里程"/>
      <sheetName val="差异系数"/>
      <sheetName val="data"/>
      <sheetName val="区划对应表"/>
      <sheetName val="中央"/>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区划对应表"/>
      <sheetName val="举借方式"/>
      <sheetName val="银行"/>
      <sheetName val="有效性列表"/>
      <sheetName val="00 目录"/>
      <sheetName val="公司债务项目情况表"/>
      <sheetName val="公司资产、在建项目情况表"/>
      <sheetName val="01个数"/>
      <sheetName val="02余额--汇总"/>
      <sheetName val="03来源--汇总"/>
      <sheetName val="04来源--省级"/>
      <sheetName val="05来源--市级"/>
      <sheetName val="06来源--县级"/>
      <sheetName val="08方式--省级"/>
      <sheetName val="09方式--市级"/>
      <sheetName val="10方式--县级"/>
      <sheetName val="07方式--汇总"/>
      <sheetName val="11资产负债--汇总"/>
      <sheetName val="12在建项目--汇总"/>
      <sheetName val="经费权重"/>
      <sheetName val="1-1余额表"/>
      <sheetName val="2-11担保分级表"/>
      <sheetName val="2-7一般分级表"/>
      <sheetName val="2-1余额分级表"/>
      <sheetName val="2-5直接分级表"/>
      <sheetName val="2-9专项分级表"/>
      <sheetName val="P1012001"/>
      <sheetName val="01北京市"/>
      <sheetName val="基础编码"/>
      <sheetName val="C01-1"/>
      <sheetName val="L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0000000"/>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StartUp_13"/>
      <sheetName val="StartUp_14"/>
      <sheetName val="StartUp_15"/>
      <sheetName val="StartUp_16"/>
      <sheetName val="StartUp_17"/>
      <sheetName val="StartUp_18"/>
      <sheetName val="StartUp_19"/>
      <sheetName val="StartUp_20"/>
      <sheetName val="StartUp_21"/>
      <sheetName val="StartUp_22"/>
      <sheetName val="StartUp_23"/>
      <sheetName val="StartUp_24"/>
      <sheetName val="StartUp_25"/>
      <sheetName val="StartUp_26"/>
      <sheetName val="StartUp_27"/>
      <sheetName val="StartUp_28"/>
      <sheetName val="StartUp_29"/>
      <sheetName val="StartUp_30"/>
      <sheetName val="StartUp_31"/>
      <sheetName val="StartUp_32"/>
      <sheetName val="StartUp_33"/>
      <sheetName val="StartUp_34"/>
      <sheetName val="StartUp_35"/>
      <sheetName val="StartUp_36"/>
      <sheetName val="StartUp_37"/>
      <sheetName val="StartUp_38"/>
      <sheetName val="StartUp_39"/>
      <sheetName val="StartUp_40"/>
      <sheetName val="StartUp_41"/>
      <sheetName val="StartUp_42"/>
      <sheetName val="StartUp_43"/>
      <sheetName val="StartUp_44"/>
      <sheetName val="StartUp_45"/>
      <sheetName val="StartUp_46"/>
      <sheetName val="StartUp_47"/>
      <sheetName val="StartUp_48"/>
      <sheetName val="StartUp_49"/>
      <sheetName val="StartUp_50"/>
      <sheetName val="StartUp_51"/>
      <sheetName val="StartUp_52"/>
      <sheetName val="StartUp_53"/>
      <sheetName val="StartUp_54"/>
      <sheetName val="StartUp_55"/>
      <sheetName val="StartUp_56"/>
      <sheetName val="StartUp_57"/>
      <sheetName val="StartUp_58"/>
      <sheetName val="StartUp_59"/>
      <sheetName val="StartUp_60"/>
      <sheetName val="StartUp_61"/>
      <sheetName val="StartUp_62"/>
      <sheetName val="StartUp_63"/>
      <sheetName val="StartUp_64"/>
      <sheetName val="StartUp_65"/>
      <sheetName val="StartUp_66"/>
      <sheetName val="StartUp_67"/>
      <sheetName val="StartUp_68"/>
      <sheetName val="StartUp_69"/>
      <sheetName val="StartUp_70"/>
      <sheetName val="StartUp_71"/>
      <sheetName val="StartUp_72"/>
      <sheetName val="StartUp_73"/>
      <sheetName val="StartUp_74"/>
      <sheetName val="StartUp_75"/>
      <sheetName val="StartUp_76"/>
      <sheetName val="StartUp_77"/>
      <sheetName val="StartUp_78"/>
      <sheetName val="StartUp_79"/>
      <sheetName val="StartUp_80"/>
      <sheetName val="StartUp_81"/>
      <sheetName val="StartUp_82"/>
      <sheetName val="StartUp_83"/>
      <sheetName val="StartUp_84"/>
      <sheetName val="StartUp_85"/>
      <sheetName val="StartUp_86"/>
      <sheetName val="StartUp_87"/>
      <sheetName val="StartUp_88"/>
      <sheetName val="StartUp_89"/>
      <sheetName val="StartUp_90"/>
      <sheetName val="StartUp_91"/>
      <sheetName val="StartUp_92"/>
      <sheetName val="StartUp_93"/>
      <sheetName val="StartUp_94"/>
      <sheetName val="StartUp_95"/>
      <sheetName val="StartUp_96"/>
      <sheetName val="StartUp_97"/>
      <sheetName val="StartUp_98"/>
      <sheetName val="StartUp_99"/>
      <sheetName val="StartUp_100"/>
      <sheetName val="StartUp_101"/>
      <sheetName val="StartUp_102"/>
      <sheetName val="StartUp_103"/>
      <sheetName val="StartUp_104"/>
      <sheetName val="StartUp_105"/>
      <sheetName val="StartUp_106"/>
      <sheetName val="StartUp_107"/>
      <sheetName val="StartUp_108"/>
      <sheetName val="StartUp_109"/>
      <sheetName val="StartUp_110"/>
      <sheetName val="StartUp_111"/>
      <sheetName val="StartUp_112"/>
      <sheetName val="StartUp_113"/>
      <sheetName val="StartUp_114"/>
      <sheetName val="StartUp_115"/>
      <sheetName val="StartUp_116"/>
      <sheetName val="StartUp_117"/>
      <sheetName val="StartUp_118"/>
      <sheetName val="StartUp_119"/>
      <sheetName val="StartUp_120"/>
      <sheetName val="StartUp_121"/>
      <sheetName val="StartUp_122"/>
      <sheetName val="StartUp_123"/>
      <sheetName val="StartUp_124"/>
      <sheetName val="StartUp_125"/>
      <sheetName val="StartUp_126"/>
      <sheetName val="StartUp_127"/>
      <sheetName val="StartUp_128"/>
      <sheetName val="StartUp_129"/>
      <sheetName val="StartUp_130"/>
      <sheetName val="StartUp_131"/>
      <sheetName val="StartUp_132"/>
      <sheetName val="StartUp_133"/>
      <sheetName val="StartUp_134"/>
      <sheetName val="StartUp_135"/>
      <sheetName val="StartUp_136"/>
      <sheetName val="StartUp_137"/>
      <sheetName val="StartUp_138"/>
      <sheetName val="StartUp_139"/>
      <sheetName val="StartUp_140"/>
      <sheetName val="StartUp_141"/>
      <sheetName val="StartUp_142"/>
      <sheetName val="StartUp_143"/>
      <sheetName val="StartUp_144"/>
      <sheetName val="StartUp_145"/>
      <sheetName val="StartUp_146"/>
      <sheetName val="StartUp_147"/>
      <sheetName val="StartUp_148"/>
      <sheetName val="StartUp_149"/>
      <sheetName val="StartUp_150"/>
      <sheetName val="StartUp_151"/>
      <sheetName val="StartUp_152"/>
      <sheetName val="StartUp_153"/>
      <sheetName val="StartUp_154"/>
      <sheetName val="StartUp_155"/>
      <sheetName val="StartUp_156"/>
      <sheetName val="StartUp_157"/>
      <sheetName val="StartUp_158"/>
      <sheetName val="StartUp_159"/>
      <sheetName val="StartUp_160"/>
      <sheetName val="StartUp_161"/>
      <sheetName val="StartUp_162"/>
      <sheetName val="StartUp_163"/>
      <sheetName val="StartUp_164"/>
      <sheetName val="StartUp_165"/>
      <sheetName val="StartUp_166"/>
      <sheetName val="StartUp_167"/>
      <sheetName val="StartUp_168"/>
      <sheetName val="StartUp_169"/>
      <sheetName val="StartUp_170"/>
      <sheetName val="StartUp_171"/>
      <sheetName val="StartUp_172"/>
      <sheetName val="StartUp_173"/>
      <sheetName val="StartUp_174"/>
      <sheetName val="StartUp_175"/>
      <sheetName val="StartUp_176"/>
      <sheetName val="StartUp_177"/>
      <sheetName val="StartUp_178"/>
      <sheetName val="StartUp_179"/>
      <sheetName val="StartUp_180"/>
      <sheetName val="StartUp_181"/>
      <sheetName val="StartUp_182"/>
      <sheetName val="StartUp_183"/>
      <sheetName val="StartUp_184"/>
      <sheetName val="StartUp_185"/>
      <sheetName val="StartUp_186"/>
      <sheetName val="StartUp_187"/>
      <sheetName val="StartUp_188"/>
      <sheetName val="StartUp_189"/>
      <sheetName val="StartUp_190"/>
      <sheetName val="StartUp_191"/>
      <sheetName val="StartUp_192"/>
      <sheetName val="StartUp_193"/>
      <sheetName val="StartUp_194"/>
      <sheetName val="StartUp_195"/>
      <sheetName val="StartUp_196"/>
      <sheetName val="StartUp_197"/>
      <sheetName val="StartUp_198"/>
      <sheetName val="StartUp_199"/>
      <sheetName val="StartUp_200"/>
      <sheetName val="StartUp_201"/>
      <sheetName val="StartUp_202"/>
      <sheetName val="StartUp_203"/>
      <sheetName val="StartUp_204"/>
      <sheetName val="StartUp_205"/>
      <sheetName val="StartUp_206"/>
      <sheetName val="StartUp_207"/>
      <sheetName val="StartUp_208"/>
      <sheetName val="StartUp_209"/>
      <sheetName val="StartUp_210"/>
      <sheetName val="StartUp_211"/>
      <sheetName val="StartUp_212"/>
      <sheetName val="StartUp_213"/>
      <sheetName val="StartUp_214"/>
      <sheetName val="StartUp_215"/>
      <sheetName val="StartUp_216"/>
      <sheetName val="StartUp_217"/>
      <sheetName val="StartUp_218"/>
      <sheetName val="StartUp_219"/>
      <sheetName val="StartUp_220"/>
      <sheetName val="StartUp_221"/>
      <sheetName val="StartUp_222"/>
      <sheetName val="StartUp_223"/>
      <sheetName val="StartUp_224"/>
      <sheetName val="StartUp_225"/>
      <sheetName val="StartUp_226"/>
      <sheetName val="StartUp_227"/>
      <sheetName val="StartUp_228"/>
      <sheetName val="StartUp_229"/>
      <sheetName val="StartUp_230"/>
      <sheetName val="StartUp_231"/>
      <sheetName val="StartUp_232"/>
      <sheetName val="StartUp_233"/>
      <sheetName val="StartUp_234"/>
      <sheetName val="StartUp_235"/>
      <sheetName val="StartUp_236"/>
      <sheetName val="StartUp_237"/>
      <sheetName val="StartUp_238"/>
      <sheetName val="StartUp_239"/>
      <sheetName val="StartUp_240"/>
      <sheetName val="StartUp_241"/>
      <sheetName val="StartUp_242"/>
      <sheetName val="StartUp_243"/>
      <sheetName val="StartUp_244"/>
      <sheetName val="StartUp_245"/>
      <sheetName val="StartUp_246"/>
      <sheetName val="StartUp_247"/>
      <sheetName val="StartUp_248"/>
      <sheetName val="StartUp_249"/>
      <sheetName val="StartUp_250"/>
      <sheetName val="StartUp_251"/>
      <sheetName val="StartUp_252"/>
      <sheetName val="StartUp_253"/>
      <sheetName val="StartUp_254"/>
      <sheetName val="StartUp_255"/>
      <sheetName val="StartUp_256"/>
      <sheetName val="StartUp_257"/>
      <sheetName val="StartUp_258"/>
      <sheetName val="StartUp_259"/>
      <sheetName val="StartUp_260"/>
      <sheetName val="StartUp_261"/>
      <sheetName val="StartUp_262"/>
      <sheetName val="StartUp_263"/>
      <sheetName val="StartUp_264"/>
      <sheetName val="StartUp_265"/>
      <sheetName val="StartUp_266"/>
      <sheetName val="StartUp_267"/>
      <sheetName val="StartUp_268"/>
      <sheetName val="StartUp_269"/>
      <sheetName val="StartUp_270"/>
      <sheetName val="StartUp_271"/>
      <sheetName val="StartUp_272"/>
      <sheetName val="StartUp_273"/>
      <sheetName val="StartUp_274"/>
      <sheetName val="StartUp_275"/>
      <sheetName val="StartUp_276"/>
      <sheetName val="StartUp_277"/>
      <sheetName val="StartUp_278"/>
      <sheetName val="StartUp_279"/>
      <sheetName val="StartUp_280"/>
      <sheetName val="StartUp_281"/>
      <sheetName val="StartUp_282"/>
      <sheetName val="StartUp_283"/>
      <sheetName val="StartUp_284"/>
      <sheetName val="StartUp_285"/>
      <sheetName val="StartUp_286"/>
      <sheetName val="StartUp_287"/>
      <sheetName val="StartUp_288"/>
      <sheetName val="StartUp_289"/>
      <sheetName val="StartUp_290"/>
      <sheetName val="StartUp_291"/>
      <sheetName val="StartUp_292"/>
      <sheetName val="StartUp_293"/>
      <sheetName val="StartUp_294"/>
      <sheetName val="StartUp_295"/>
      <sheetName val="StartUp_296"/>
      <sheetName val="StartUp_297"/>
      <sheetName val="StartUp_298"/>
      <sheetName val="StartUp_299"/>
      <sheetName val="StartUp_300"/>
      <sheetName val="StartUp_301"/>
      <sheetName val="StartUp_302"/>
      <sheetName val="StartUp_303"/>
      <sheetName val="StartUp_304"/>
      <sheetName val="StartUp_305"/>
      <sheetName val="StartUp_306"/>
      <sheetName val="StartUp_307"/>
      <sheetName val="StartUp_308"/>
      <sheetName val="StartUp_309"/>
      <sheetName val="StartUp_310"/>
      <sheetName val="StartUp_311"/>
      <sheetName val="StartUp_312"/>
      <sheetName val="StartUp_313"/>
      <sheetName val="StartUp_314"/>
      <sheetName val="StartUp_315"/>
      <sheetName val="StartUp_316"/>
      <sheetName val="StartUp_317"/>
      <sheetName val="StartUp_318"/>
      <sheetName val="StartUp_319"/>
      <sheetName val="StartUp_320"/>
      <sheetName val="StartUp_321"/>
      <sheetName val="StartUp_322"/>
      <sheetName val="StartUp_323"/>
      <sheetName val="StartUp_324"/>
      <sheetName val="StartUp_325"/>
      <sheetName val="StartUp_326"/>
      <sheetName val="StartUp_327"/>
      <sheetName val="StartUp_328"/>
      <sheetName val="StartUp_329"/>
      <sheetName val="StartUp_330"/>
      <sheetName val="StartUp_331"/>
      <sheetName val="StartUp_332"/>
      <sheetName val="StartUp_333"/>
      <sheetName val="StartUp_334"/>
      <sheetName val="StartUp_335"/>
      <sheetName val="StartUp_336"/>
      <sheetName val="StartUp_337"/>
      <sheetName val="StartUp_338"/>
      <sheetName val="StartUp_339"/>
      <sheetName val="StartUp_340"/>
      <sheetName val="StartUp_341"/>
      <sheetName val="StartUp_342"/>
      <sheetName val="StartUp_343"/>
      <sheetName val="StartUp_344"/>
      <sheetName val="StartUp_345"/>
      <sheetName val="StartUp_346"/>
      <sheetName val="StartUp_347"/>
      <sheetName val="StartUp_348"/>
      <sheetName val="StartUp_349"/>
      <sheetName val="StartUp_350"/>
      <sheetName val="StartUp_351"/>
      <sheetName val="StartUp_352"/>
      <sheetName val="StartUp_353"/>
      <sheetName val="StartUp_354"/>
      <sheetName val="StartUp_355"/>
      <sheetName val="StartUp_356"/>
      <sheetName val="StartUp_357"/>
      <sheetName val="StartUp_358"/>
      <sheetName val="StartUp_359"/>
      <sheetName val="StartUp_360"/>
      <sheetName val="StartUp_361"/>
      <sheetName val="StartUp_362"/>
      <sheetName val="StartUp_363"/>
      <sheetName val="StartUp_364"/>
      <sheetName val="StartUp_365"/>
      <sheetName val="StartUp_366"/>
      <sheetName val="StartUp_367"/>
      <sheetName val="StartUp_368"/>
      <sheetName val="StartUp_369"/>
      <sheetName val="StartUp_370"/>
      <sheetName val="StartUp_371"/>
      <sheetName val="StartUp_372"/>
      <sheetName val="StartUp_373"/>
      <sheetName val="StartUp_374"/>
      <sheetName val="StartUp_375"/>
      <sheetName val="StartUp_376"/>
      <sheetName val="StartUp_377"/>
      <sheetName val="StartUp_378"/>
      <sheetName val="区划对应表"/>
      <sheetName val="四川-对账表"/>
      <sheetName val="核对表"/>
      <sheetName val="四川-对账表 (2)"/>
      <sheetName val="四月份月报"/>
      <sheetName val="C01-1"/>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四月份月报"/>
      <sheetName val="国家"/>
      <sheetName val="P1012001"/>
      <sheetName val="Sheet1"/>
      <sheetName val="有效性列表"/>
      <sheetName val="区划对应表"/>
      <sheetName val="参数表"/>
      <sheetName val="分县数据"/>
      <sheetName val="公路里程"/>
      <sheetName val="人民银行"/>
      <sheetName val="01北京市"/>
      <sheetName val="L24"/>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录入13"/>
      <sheetName val="录入14"/>
      <sheetName val="合计"/>
      <sheetName val="分县数据"/>
      <sheetName val="P1012001"/>
      <sheetName val="区划对应表"/>
      <sheetName val="L24"/>
      <sheetName val="四月份月报"/>
      <sheetName val="经费权重"/>
      <sheetName val="国家"/>
      <sheetName val="总表"/>
      <sheetName val="Sheet1"/>
      <sheetName val="01北京市"/>
      <sheetName val="1-1余额表"/>
      <sheetName val="2-11担保分级表"/>
      <sheetName val="2-7一般分级表"/>
      <sheetName val="2-1余额分级表"/>
      <sheetName val="2-5直接分级表"/>
      <sheetName val="2-9专项分级表"/>
      <sheetName val="有效性列表"/>
      <sheetName val="公路里程"/>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Sheet1"/>
      <sheetName val="L24"/>
      <sheetName val="1-4余额表"/>
      <sheetName val="中央"/>
      <sheetName val="分县数据"/>
      <sheetName val="四月份月报"/>
      <sheetName val="参数表"/>
      <sheetName val="C01-1"/>
      <sheetName val="经费权重"/>
      <sheetName val="国家"/>
      <sheetName val="区划对应表"/>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填报说明"/>
      <sheetName val="表A 政府平台明细"/>
      <sheetName val="表B 保障性住房明细"/>
      <sheetName val="表C 汇总表"/>
      <sheetName val="表D 8月放款客户"/>
      <sheetName val="表E 修改备忘"/>
      <sheetName val="参数表"/>
      <sheetName val="Sheet1"/>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01-1"/>
      <sheetName val="Define"/>
      <sheetName val="C01-2"/>
      <sheetName val="C10"/>
      <sheetName val="C11"/>
      <sheetName val="C12"/>
      <sheetName val="C13"/>
      <sheetName val="C14"/>
      <sheetName val="C15"/>
      <sheetName val="C14-2"/>
      <sheetName val="C16"/>
      <sheetName val="C17"/>
      <sheetName val="C02"/>
      <sheetName val="C03"/>
      <sheetName val="C04-1"/>
      <sheetName val="C04-2"/>
      <sheetName val="C05-1"/>
      <sheetName val="C05-2"/>
      <sheetName val="C06"/>
      <sheetName val="C07"/>
      <sheetName val="C08"/>
      <sheetName val="C09"/>
      <sheetName val="XL4Poppy"/>
      <sheetName val=""/>
      <sheetName val="KKKKKKKK"/>
      <sheetName val="G.1R-Shou COP Gf"/>
      <sheetName val="P1012001"/>
      <sheetName val="国家"/>
      <sheetName val="_x005f_x0000__x005f_x0000__x005f_x0000__x005f_x0000__x0"/>
      <sheetName val="分县数据"/>
      <sheetName val="_x005f_x005f_x005f_x0000__x005f_x005f_x005f_x0000__x005"/>
      <sheetName val="总表"/>
      <sheetName val="01北京市"/>
      <sheetName val="参数表"/>
      <sheetName val="经费权重"/>
      <sheetName val="_x005f_x0000__x005f_x0000__x005"/>
      <sheetName val="基础编码"/>
      <sheetName val="1-1余额表"/>
      <sheetName val="2-11担保分级表"/>
      <sheetName val="2-7一般分级表"/>
      <sheetName val="2-1余额分级表"/>
      <sheetName val="2-5直接分级表"/>
      <sheetName val="2-9专项分级表"/>
      <sheetName val="_x005f_x005f_x005f_x005f_x005f_x005f_x005f_x0000__x005f"/>
      <sheetName val="中央"/>
      <sheetName val="_x005f_x005f_x005f_x0000__x005f"/>
      <sheetName val="_x005f_x005f_x005f_x005f_"/>
      <sheetName val="_x005f_x005f_x005f_x005f_x005f_x005f_x005f_x005f_x005f_x005f_"/>
      <sheetName val="Sheet1"/>
      <sheetName val="_x005f_x005f_x005f_x005f_x005f_x005f_x005f_x005f_"/>
      <sheetName val="有效性列表"/>
      <sheetName val="区划对应表"/>
      <sheetName val="L24"/>
      <sheetName val="人民银行"/>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 val="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7"/>
      <sheetName val="2008"/>
      <sheetName val="第6行"/>
      <sheetName val="动态分析报表"/>
      <sheetName val="区划对应表"/>
      <sheetName val="中央"/>
      <sheetName val="P1012001"/>
      <sheetName val="C01-1"/>
      <sheetName val="Sheet1"/>
      <sheetName val="总表"/>
      <sheetName val="经费权重"/>
      <sheetName val="基础数据"/>
      <sheetName val="参数表"/>
      <sheetName val="国家"/>
      <sheetName val="分县数据"/>
      <sheetName val="1-1余额表"/>
      <sheetName val="2-11担保分级表"/>
      <sheetName val="2-7一般分级表"/>
      <sheetName val="2-1余额分级表"/>
      <sheetName val="2-5直接分级表"/>
      <sheetName val="2-9专项分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需要调整指标"/>
      <sheetName val="发文表数8296"/>
      <sheetName val="发文表数"/>
      <sheetName val="增长率"/>
      <sheetName val="总表"/>
      <sheetName val="标准收入"/>
      <sheetName val="标准支出"/>
      <sheetName val="转移支付系数"/>
      <sheetName val="困难程度系数"/>
      <sheetName val="奖励资金"/>
      <sheetName val="标准支出-对比"/>
      <sheetName val="特殊因素"/>
      <sheetName val="分省"/>
      <sheetName val="总人口人均"/>
      <sheetName val="分年分析"/>
      <sheetName val="2013总表"/>
      <sheetName val="2013收入"/>
      <sheetName val="2013支出"/>
      <sheetName val="少少数民族人口"/>
      <sheetName val="2012年平衡"/>
      <sheetName val="2012年补助"/>
      <sheetName val="2012年上解"/>
      <sheetName val="2012总表"/>
      <sheetName val="2012收入"/>
      <sheetName val="2012支出"/>
      <sheetName val="2010年平衡"/>
      <sheetName val="2010年补助"/>
      <sheetName val="2010年上解"/>
      <sheetName val="2011年平衡"/>
      <sheetName val="2011年补助"/>
      <sheetName val="2011年上解"/>
      <sheetName val="总表1"/>
      <sheetName val="标准支出 (2)"/>
      <sheetName val="2011年标准支出"/>
      <sheetName val="历年增长率"/>
      <sheetName val="困难程度系数 (2)"/>
      <sheetName val="P1012001"/>
      <sheetName val="L24"/>
      <sheetName val="有效性列表"/>
      <sheetName val="区划对应表"/>
      <sheetName val="基础数据"/>
      <sheetName val="中央"/>
      <sheetName val="2007"/>
      <sheetName val="C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StartUp"/>
      <sheetName val="区划对应表"/>
      <sheetName val="举借方式"/>
      <sheetName val="银行"/>
      <sheetName val="有效性列表"/>
      <sheetName val="00 目录"/>
      <sheetName val="封面"/>
      <sheetName val="公司债务项目情况表"/>
      <sheetName val="公司资产、在建项目情况表"/>
      <sheetName val="01个数"/>
      <sheetName val="02余额--汇总"/>
      <sheetName val="03来源--汇总"/>
      <sheetName val="04来源--省级"/>
      <sheetName val="05来源--市级"/>
      <sheetName val="06来源--县级"/>
      <sheetName val="07方式--汇总"/>
      <sheetName val="08方式--省级"/>
      <sheetName val="09方式--市级"/>
      <sheetName val="10方式--县级"/>
      <sheetName val="11资产负债--汇总"/>
      <sheetName val="12在建项目--汇总"/>
      <sheetName val="分县数据"/>
      <sheetName val="国家"/>
      <sheetName val="L24"/>
      <sheetName val="总表"/>
      <sheetName val="1-1余额表"/>
      <sheetName val="2-11担保分级表"/>
      <sheetName val="2-7一般分级表"/>
      <sheetName val="2-1余额分级表"/>
      <sheetName val="2-5直接分级表"/>
      <sheetName val="2-9专项分级表"/>
      <sheetName val="2007"/>
      <sheetName val="20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四月份月报"/>
      <sheetName val="C01-1"/>
      <sheetName val="本年收入合计"/>
      <sheetName val="封面"/>
      <sheetName val="农业用地"/>
      <sheetName val="村级支出"/>
      <sheetName val="类型"/>
      <sheetName val="#REF"/>
      <sheetName val="eqpmad2"/>
      <sheetName val="Sheet1"/>
      <sheetName val="国家"/>
      <sheetName val="中央"/>
      <sheetName val="公路里程"/>
      <sheetName val="有效性列表"/>
      <sheetName val="区划对应表"/>
      <sheetName val="参数表"/>
      <sheetName val="总表"/>
      <sheetName val="工商税收"/>
      <sheetName val="D011H403"/>
      <sheetName val="_ESList"/>
      <sheetName val="事业发展"/>
      <sheetName val="P1012001"/>
      <sheetName val="DDETABLE "/>
      <sheetName val="基础编码"/>
      <sheetName val="2014"/>
      <sheetName val="XL4Poppy"/>
      <sheetName val=""/>
      <sheetName val="#REF!"/>
      <sheetName val="_x005f_x0000__x005f_x0000__x005f_x0000__x005f_x0000__x0"/>
      <sheetName val="_x005f_x005f_x005f_x0000__x005f_x005f_x005f_x0000__x005"/>
      <sheetName val="1-4余额表"/>
      <sheetName val="_x005f_x005f_x005f_x005f_x005f_x005f_x005f_x0000__x005f"/>
      <sheetName val="????????"/>
      <sheetName val="????_x0"/>
      <sheetName val="_x005f_x005f_x005f_x005f_x005f_x005f_x005f_x005f_x005f_x005f_"/>
      <sheetName val="________"/>
      <sheetName val="_____x0"/>
      <sheetName val="公检法司编制"/>
      <sheetName val="行政编制"/>
      <sheetName val="农业人口"/>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s>
    <sheetDataSet>
      <sheetData sheetId="0"/>
      <sheetData sheetId="1"/>
      <sheetData sheetId="2"/>
      <sheetData sheetId="3"/>
      <sheetData sheetId="4"/>
      <sheetData sheetId="5"/>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 val="区划对应表"/>
      <sheetName val="国家"/>
      <sheetName val="基础数据"/>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P1012001"/>
      <sheetName val="基础编码"/>
      <sheetName val="参数表"/>
      <sheetName val="2002年一般预算收入"/>
      <sheetName val="财政供养人员增幅"/>
      <sheetName val="工商税收"/>
      <sheetName val="区划对应表"/>
      <sheetName val="C01-1"/>
      <sheetName val="四月份月报"/>
      <sheetName val="国家"/>
      <sheetName val="2009"/>
      <sheetName val="1-1余额表"/>
      <sheetName val="2-11担保分级表"/>
      <sheetName val="2-7一般分级表"/>
      <sheetName val="2-1余额分级表"/>
      <sheetName val="2-5直接分级表"/>
      <sheetName val="2-9专项分级表"/>
      <sheetName val="中央"/>
      <sheetName val="类型"/>
      <sheetName val="L24"/>
      <sheetName val="2007"/>
      <sheetName val="农业人口"/>
      <sheetName val="本年收入合计"/>
      <sheetName val="事业发展"/>
      <sheetName val="基础数据"/>
      <sheetName val="1-4余额表"/>
      <sheetName val="Sheet1"/>
      <sheetName val="XL4Poppy"/>
      <sheetName val=""/>
      <sheetName val="_x005f_x0000__x005f_x0000__x005f_x0000__x005f_x0000__x0"/>
      <sheetName val="_x005f_x005f_x005f_x0000__x005f_x005f_x005f_x0000__x005"/>
      <sheetName val="20 运输公司"/>
      <sheetName val="_x005f_x005f_x005f_x005f_x005f_x005f_x005f_x0000__x005f"/>
      <sheetName val="市级专项格式"/>
      <sheetName val="经济科目"/>
      <sheetName val="维修租赁"/>
      <sheetName val="专项业务"/>
      <sheetName val="_x005f_x005f_x005f_x005f_x005f_x005f_x005f_x005f_x005f_x005f_"/>
      <sheetName val="行政区划"/>
      <sheetName val="POWER ASSUMPTIONS"/>
      <sheetName val="村级支出"/>
      <sheetName val="_x005f_x0000__x005f_x0000__x005f_x0000__x005f_x0000__x0"/>
      <sheetName val="_x005f_x005f_x005f_x0000__x005f_x005f_x005f_x0000__x005"/>
      <sheetName val="_x005f_x005f_x005f_x005f_x005f_x005f_x005f_x0000__x005f"/>
      <sheetName val="_x005f_x005f_x005f_x005f_x005f_x005f_x005f_x005f_x005f_x005f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8"/>
  <sheetViews>
    <sheetView view="pageBreakPreview" zoomScaleNormal="100" workbookViewId="0">
      <selection activeCell="F5" sqref="F5"/>
    </sheetView>
  </sheetViews>
  <sheetFormatPr defaultColWidth="9" defaultRowHeight="14.25"/>
  <cols>
    <col min="6" max="6" width="12.625" customWidth="1"/>
    <col min="7" max="7" width="27"/>
    <col min="9" max="9" width="9.75" customWidth="1"/>
  </cols>
  <sheetData>
    <row r="2" ht="20.25" spans="1:10">
      <c r="A2" s="406"/>
      <c r="B2" s="406"/>
      <c r="C2" s="406"/>
      <c r="D2" s="407"/>
      <c r="E2" s="407"/>
      <c r="F2" s="407"/>
      <c r="G2" s="407"/>
      <c r="H2" s="407"/>
      <c r="I2" s="407"/>
      <c r="J2" s="407"/>
    </row>
    <row r="3" ht="20.25" spans="3:10">
      <c r="C3" s="407"/>
      <c r="D3" s="407"/>
      <c r="E3" s="407"/>
      <c r="F3" s="407"/>
      <c r="G3" s="407"/>
      <c r="H3" s="407"/>
      <c r="I3" s="407"/>
      <c r="J3" s="407"/>
    </row>
    <row r="4" ht="20.25" spans="3:10">
      <c r="C4" s="407"/>
      <c r="D4" s="407"/>
      <c r="E4" s="407"/>
      <c r="F4" s="407"/>
      <c r="G4" s="407"/>
      <c r="H4" s="407"/>
      <c r="I4" s="407"/>
      <c r="J4" s="407"/>
    </row>
    <row r="5" ht="20.25" spans="3:12">
      <c r="C5" s="407"/>
      <c r="D5" s="407"/>
      <c r="E5" s="407"/>
      <c r="F5" s="407"/>
      <c r="G5" s="407"/>
      <c r="H5" s="407"/>
      <c r="I5" s="407"/>
      <c r="L5" s="407"/>
    </row>
    <row r="8" ht="35.25" spans="1:12">
      <c r="A8" s="408" t="s">
        <v>0</v>
      </c>
      <c r="B8" s="408"/>
      <c r="C8" s="408"/>
      <c r="D8" s="408"/>
      <c r="E8" s="408"/>
      <c r="F8" s="408"/>
      <c r="G8" s="408"/>
      <c r="H8" s="408"/>
      <c r="I8" s="408"/>
      <c r="J8" s="408"/>
      <c r="K8" s="408"/>
      <c r="L8" s="411"/>
    </row>
    <row r="15" ht="20.25" spans="1:12">
      <c r="A15" s="409" t="s">
        <v>1</v>
      </c>
      <c r="B15" s="409"/>
      <c r="C15" s="409"/>
      <c r="D15" s="409"/>
      <c r="E15" s="409"/>
      <c r="F15" s="409"/>
      <c r="G15" s="409"/>
      <c r="H15" s="409"/>
      <c r="I15" s="409"/>
      <c r="J15" s="409"/>
      <c r="K15" s="409"/>
      <c r="L15" s="412"/>
    </row>
    <row r="16" ht="20.25" spans="3:8">
      <c r="C16" s="407"/>
      <c r="D16" s="407"/>
      <c r="E16" s="407"/>
      <c r="F16" s="410"/>
      <c r="G16" s="407"/>
      <c r="H16" s="407"/>
    </row>
    <row r="17" ht="20.25" spans="3:8">
      <c r="C17" s="407"/>
      <c r="D17" s="407"/>
      <c r="E17" s="407"/>
      <c r="F17" s="410"/>
      <c r="G17" s="407"/>
      <c r="H17" s="407"/>
    </row>
    <row r="18" ht="20.25" spans="1:12">
      <c r="A18" s="409" t="s">
        <v>2</v>
      </c>
      <c r="B18" s="409"/>
      <c r="C18" s="409"/>
      <c r="D18" s="409"/>
      <c r="E18" s="409"/>
      <c r="F18" s="409"/>
      <c r="G18" s="409"/>
      <c r="H18" s="409"/>
      <c r="I18" s="409"/>
      <c r="J18" s="409"/>
      <c r="K18" s="409"/>
      <c r="L18" s="412"/>
    </row>
  </sheetData>
  <mergeCells count="4">
    <mergeCell ref="A2:C2"/>
    <mergeCell ref="A8:K8"/>
    <mergeCell ref="A15:K15"/>
    <mergeCell ref="A18:K18"/>
  </mergeCells>
  <printOptions horizontalCentered="1"/>
  <pageMargins left="0.786805555555556" right="0.786805555555556" top="0.786805555555556" bottom="0.786805555555556" header="0.196527777777778" footer="0.196527777777778"/>
  <pageSetup paperSize="9" scale="93"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9"/>
  <sheetViews>
    <sheetView showZeros="0" workbookViewId="0">
      <pane xSplit="1" ySplit="6" topLeftCell="B47" activePane="bottomRight" state="frozen"/>
      <selection/>
      <selection pane="topRight"/>
      <selection pane="bottomLeft"/>
      <selection pane="bottomRight" activeCell="B3" sqref="B3"/>
    </sheetView>
  </sheetViews>
  <sheetFormatPr defaultColWidth="9" defaultRowHeight="14.25"/>
  <cols>
    <col min="1" max="1" width="31.625" style="291" customWidth="1"/>
    <col min="2" max="7" width="10.625" style="299" customWidth="1"/>
    <col min="8" max="9" width="8.625" style="315" customWidth="1"/>
    <col min="10" max="10" width="25.625" style="291" customWidth="1"/>
    <col min="11" max="11" width="1.875" style="390" hidden="1" customWidth="1"/>
    <col min="12" max="12" width="9" style="390"/>
    <col min="13" max="13" width="12.625" style="390"/>
    <col min="14" max="16380" width="9" style="390"/>
  </cols>
  <sheetData>
    <row r="1" ht="20" customHeight="1" spans="1:1">
      <c r="A1" s="80" t="s">
        <v>3</v>
      </c>
    </row>
    <row r="2" ht="30" customHeight="1" spans="1:10">
      <c r="A2" s="148" t="s">
        <v>4</v>
      </c>
      <c r="B2" s="164"/>
      <c r="C2" s="164"/>
      <c r="D2" s="164"/>
      <c r="E2" s="164"/>
      <c r="F2" s="164"/>
      <c r="G2" s="164"/>
      <c r="H2" s="391"/>
      <c r="I2" s="391"/>
      <c r="J2" s="148"/>
    </row>
    <row r="3" s="386" customFormat="1" ht="20" customHeight="1" spans="1:10">
      <c r="A3" s="392"/>
      <c r="B3" s="393"/>
      <c r="C3" s="393"/>
      <c r="D3" s="393"/>
      <c r="E3" s="393"/>
      <c r="F3" s="393"/>
      <c r="G3" s="393"/>
      <c r="H3" s="394"/>
      <c r="I3" s="394"/>
      <c r="J3" s="318" t="s">
        <v>5</v>
      </c>
    </row>
    <row r="4" s="387" customFormat="1" ht="25" customHeight="1" spans="1:10">
      <c r="A4" s="13" t="s">
        <v>6</v>
      </c>
      <c r="B4" s="134" t="s">
        <v>7</v>
      </c>
      <c r="C4" s="134"/>
      <c r="D4" s="134" t="s">
        <v>8</v>
      </c>
      <c r="E4" s="134"/>
      <c r="F4" s="134" t="s">
        <v>9</v>
      </c>
      <c r="G4" s="134"/>
      <c r="H4" s="372" t="s">
        <v>10</v>
      </c>
      <c r="I4" s="372"/>
      <c r="J4" s="13" t="s">
        <v>11</v>
      </c>
    </row>
    <row r="5" s="387" customFormat="1" ht="25" customHeight="1" spans="1:10">
      <c r="A5" s="13"/>
      <c r="B5" s="395"/>
      <c r="C5" s="395"/>
      <c r="D5" s="395"/>
      <c r="E5" s="395"/>
      <c r="F5" s="395"/>
      <c r="G5" s="395"/>
      <c r="H5" s="396"/>
      <c r="I5" s="396"/>
      <c r="J5" s="13"/>
    </row>
    <row r="6" s="387" customFormat="1" ht="25" customHeight="1" spans="1:10">
      <c r="A6" s="13"/>
      <c r="B6" s="134" t="s">
        <v>12</v>
      </c>
      <c r="C6" s="397" t="s">
        <v>13</v>
      </c>
      <c r="D6" s="134" t="s">
        <v>12</v>
      </c>
      <c r="E6" s="397" t="s">
        <v>13</v>
      </c>
      <c r="F6" s="134" t="s">
        <v>12</v>
      </c>
      <c r="G6" s="397" t="s">
        <v>13</v>
      </c>
      <c r="H6" s="372" t="s">
        <v>12</v>
      </c>
      <c r="I6" s="403" t="s">
        <v>13</v>
      </c>
      <c r="J6" s="13"/>
    </row>
    <row r="7" ht="25" customHeight="1" spans="1:10">
      <c r="A7" s="113" t="s">
        <v>14</v>
      </c>
      <c r="B7" s="115">
        <f t="shared" ref="B7:G7" si="0">SUM(B8:B23)</f>
        <v>317883</v>
      </c>
      <c r="C7" s="115">
        <f t="shared" si="0"/>
        <v>45019</v>
      </c>
      <c r="D7" s="115">
        <f t="shared" si="0"/>
        <v>-24730</v>
      </c>
      <c r="E7" s="115">
        <f t="shared" si="0"/>
        <v>-2418</v>
      </c>
      <c r="F7" s="115">
        <f t="shared" si="0"/>
        <v>293153</v>
      </c>
      <c r="G7" s="115">
        <f t="shared" si="0"/>
        <v>42601</v>
      </c>
      <c r="H7" s="141">
        <f t="shared" ref="H7:H44" si="1">IF(B7=0,IF(F7=0,0,100),100*(F7/B7-1))</f>
        <v>-7.77959186241479</v>
      </c>
      <c r="I7" s="141">
        <f t="shared" ref="I7:I41" si="2">IF(C7=0,IF(G7=0,0,100),100*(G7/C7-1))</f>
        <v>-5.37106555010107</v>
      </c>
      <c r="J7" s="117"/>
    </row>
    <row r="8" ht="25" customHeight="1" spans="1:11">
      <c r="A8" s="413" t="s">
        <v>15</v>
      </c>
      <c r="B8" s="119">
        <v>155090</v>
      </c>
      <c r="C8" s="119">
        <v>17853</v>
      </c>
      <c r="D8" s="119">
        <f>F8-B8</f>
        <v>0</v>
      </c>
      <c r="E8" s="119">
        <f>G8-C8</f>
        <v>0</v>
      </c>
      <c r="F8" s="119">
        <f>150466+4624</f>
        <v>155090</v>
      </c>
      <c r="G8" s="119">
        <f>18809-1534+578</f>
        <v>17853</v>
      </c>
      <c r="H8" s="120">
        <f t="shared" si="1"/>
        <v>0</v>
      </c>
      <c r="I8" s="120">
        <f t="shared" si="2"/>
        <v>0</v>
      </c>
      <c r="J8" s="117"/>
      <c r="K8" s="404" t="s">
        <v>16</v>
      </c>
    </row>
    <row r="9" ht="25" customHeight="1" spans="1:10">
      <c r="A9" s="413" t="s">
        <v>17</v>
      </c>
      <c r="B9" s="119">
        <v>9</v>
      </c>
      <c r="C9" s="119">
        <v>0</v>
      </c>
      <c r="D9" s="119">
        <f t="shared" ref="D9:D23" si="3">F9-B9</f>
        <v>0</v>
      </c>
      <c r="E9" s="119">
        <f t="shared" ref="E9:E23" si="4">G9-C9</f>
        <v>0</v>
      </c>
      <c r="F9" s="119">
        <v>9</v>
      </c>
      <c r="G9" s="119">
        <v>0</v>
      </c>
      <c r="H9" s="120">
        <f t="shared" si="1"/>
        <v>0</v>
      </c>
      <c r="I9" s="120">
        <f t="shared" si="2"/>
        <v>0</v>
      </c>
      <c r="J9" s="117"/>
    </row>
    <row r="10" ht="25" customHeight="1" spans="1:11">
      <c r="A10" s="413" t="s">
        <v>18</v>
      </c>
      <c r="B10" s="119">
        <v>1447</v>
      </c>
      <c r="C10" s="119">
        <v>0</v>
      </c>
      <c r="D10" s="119">
        <f t="shared" si="3"/>
        <v>0</v>
      </c>
      <c r="E10" s="119">
        <f t="shared" si="4"/>
        <v>0</v>
      </c>
      <c r="F10" s="119">
        <v>1447</v>
      </c>
      <c r="G10" s="119">
        <v>0</v>
      </c>
      <c r="H10" s="120">
        <f t="shared" si="1"/>
        <v>0</v>
      </c>
      <c r="I10" s="120">
        <f t="shared" si="2"/>
        <v>0</v>
      </c>
      <c r="J10" s="117"/>
      <c r="K10" s="404" t="s">
        <v>19</v>
      </c>
    </row>
    <row r="11" ht="25" customHeight="1" spans="1:11">
      <c r="A11" s="413" t="s">
        <v>20</v>
      </c>
      <c r="B11" s="119">
        <v>88060</v>
      </c>
      <c r="C11" s="119">
        <v>8806</v>
      </c>
      <c r="D11" s="119">
        <f t="shared" si="3"/>
        <v>-17600</v>
      </c>
      <c r="E11" s="119">
        <f t="shared" si="4"/>
        <v>-1760</v>
      </c>
      <c r="F11" s="119">
        <f>G11/0.1</f>
        <v>70460</v>
      </c>
      <c r="G11" s="119">
        <v>7046</v>
      </c>
      <c r="H11" s="120">
        <f t="shared" si="1"/>
        <v>-19.9863729275494</v>
      </c>
      <c r="I11" s="120">
        <f t="shared" si="2"/>
        <v>-19.9863729275494</v>
      </c>
      <c r="J11" s="117"/>
      <c r="K11" s="404" t="s">
        <v>16</v>
      </c>
    </row>
    <row r="12" ht="25" customHeight="1" spans="1:11">
      <c r="A12" s="413" t="s">
        <v>21</v>
      </c>
      <c r="B12" s="119">
        <v>9710</v>
      </c>
      <c r="C12" s="119">
        <v>971</v>
      </c>
      <c r="D12" s="119">
        <f t="shared" si="3"/>
        <v>0</v>
      </c>
      <c r="E12" s="119">
        <f t="shared" si="4"/>
        <v>0</v>
      </c>
      <c r="F12" s="119">
        <f>G12/0.1</f>
        <v>9710</v>
      </c>
      <c r="G12" s="119">
        <v>971</v>
      </c>
      <c r="H12" s="120">
        <f t="shared" si="1"/>
        <v>0</v>
      </c>
      <c r="I12" s="120">
        <f t="shared" si="2"/>
        <v>0</v>
      </c>
      <c r="J12" s="117"/>
      <c r="K12" s="404" t="s">
        <v>16</v>
      </c>
    </row>
    <row r="13" ht="25" customHeight="1" spans="1:11">
      <c r="A13" s="413" t="s">
        <v>22</v>
      </c>
      <c r="B13" s="119">
        <v>181</v>
      </c>
      <c r="C13" s="119">
        <v>181</v>
      </c>
      <c r="D13" s="119">
        <f t="shared" si="3"/>
        <v>242</v>
      </c>
      <c r="E13" s="119">
        <f t="shared" si="4"/>
        <v>242</v>
      </c>
      <c r="F13" s="119">
        <f>G13</f>
        <v>423</v>
      </c>
      <c r="G13" s="119">
        <v>423</v>
      </c>
      <c r="H13" s="120">
        <f t="shared" si="1"/>
        <v>133.701657458564</v>
      </c>
      <c r="I13" s="120">
        <f t="shared" si="2"/>
        <v>133.701657458564</v>
      </c>
      <c r="J13" s="117"/>
      <c r="K13" s="404" t="s">
        <v>23</v>
      </c>
    </row>
    <row r="14" ht="25" customHeight="1" spans="1:11">
      <c r="A14" s="413" t="s">
        <v>24</v>
      </c>
      <c r="B14" s="119">
        <v>10040</v>
      </c>
      <c r="C14" s="119">
        <v>5020</v>
      </c>
      <c r="D14" s="119">
        <f t="shared" si="3"/>
        <v>-400</v>
      </c>
      <c r="E14" s="119">
        <f t="shared" si="4"/>
        <v>-200</v>
      </c>
      <c r="F14" s="119">
        <f>G14/0.5</f>
        <v>9640</v>
      </c>
      <c r="G14" s="119">
        <v>4820</v>
      </c>
      <c r="H14" s="120">
        <f t="shared" si="1"/>
        <v>-3.98406374501992</v>
      </c>
      <c r="I14" s="120">
        <f t="shared" si="2"/>
        <v>-3.98406374501992</v>
      </c>
      <c r="J14" s="117"/>
      <c r="K14" s="404" t="s">
        <v>16</v>
      </c>
    </row>
    <row r="15" ht="25" customHeight="1" spans="1:11">
      <c r="A15" s="413" t="s">
        <v>25</v>
      </c>
      <c r="B15" s="119">
        <v>6402</v>
      </c>
      <c r="C15" s="119">
        <v>3201</v>
      </c>
      <c r="D15" s="119">
        <f t="shared" si="3"/>
        <v>-400</v>
      </c>
      <c r="E15" s="119">
        <f t="shared" si="4"/>
        <v>-200</v>
      </c>
      <c r="F15" s="119">
        <f>G15/0.5</f>
        <v>6002</v>
      </c>
      <c r="G15" s="119">
        <v>3001</v>
      </c>
      <c r="H15" s="120">
        <f t="shared" si="1"/>
        <v>-6.24804748516089</v>
      </c>
      <c r="I15" s="120">
        <f t="shared" si="2"/>
        <v>-6.24804748516089</v>
      </c>
      <c r="J15" s="117"/>
      <c r="K15" s="404" t="s">
        <v>16</v>
      </c>
    </row>
    <row r="16" ht="25" customHeight="1" spans="1:11">
      <c r="A16" s="413" t="s">
        <v>26</v>
      </c>
      <c r="B16" s="119">
        <v>3048</v>
      </c>
      <c r="C16" s="119">
        <v>3048</v>
      </c>
      <c r="D16" s="119">
        <f t="shared" si="3"/>
        <v>-100</v>
      </c>
      <c r="E16" s="119">
        <f t="shared" si="4"/>
        <v>-100</v>
      </c>
      <c r="F16" s="119">
        <f>G16</f>
        <v>2948</v>
      </c>
      <c r="G16" s="119">
        <v>2948</v>
      </c>
      <c r="H16" s="120">
        <f t="shared" si="1"/>
        <v>-3.28083989501312</v>
      </c>
      <c r="I16" s="120">
        <f t="shared" si="2"/>
        <v>-3.28083989501312</v>
      </c>
      <c r="J16" s="117"/>
      <c r="K16" s="404" t="s">
        <v>23</v>
      </c>
    </row>
    <row r="17" ht="25" customHeight="1" spans="1:11">
      <c r="A17" s="413" t="s">
        <v>27</v>
      </c>
      <c r="B17" s="119">
        <v>4940</v>
      </c>
      <c r="C17" s="119">
        <v>0</v>
      </c>
      <c r="D17" s="119">
        <f t="shared" si="3"/>
        <v>0</v>
      </c>
      <c r="E17" s="119">
        <f t="shared" si="4"/>
        <v>0</v>
      </c>
      <c r="F17" s="119">
        <v>4940</v>
      </c>
      <c r="G17" s="119">
        <v>0</v>
      </c>
      <c r="H17" s="120">
        <f t="shared" si="1"/>
        <v>0</v>
      </c>
      <c r="I17" s="120">
        <f t="shared" si="2"/>
        <v>0</v>
      </c>
      <c r="J17" s="117"/>
      <c r="K17" s="404" t="s">
        <v>19</v>
      </c>
    </row>
    <row r="18" ht="25" customHeight="1" spans="1:11">
      <c r="A18" s="413" t="s">
        <v>28</v>
      </c>
      <c r="B18" s="119">
        <v>21804</v>
      </c>
      <c r="C18" s="119">
        <v>5451</v>
      </c>
      <c r="D18" s="119">
        <f t="shared" si="3"/>
        <v>-4000</v>
      </c>
      <c r="E18" s="119">
        <f t="shared" si="4"/>
        <v>-1000</v>
      </c>
      <c r="F18" s="119">
        <f>G18/0.25</f>
        <v>17804</v>
      </c>
      <c r="G18" s="119">
        <v>4451</v>
      </c>
      <c r="H18" s="120">
        <f t="shared" si="1"/>
        <v>-18.3452577508714</v>
      </c>
      <c r="I18" s="120">
        <f t="shared" si="2"/>
        <v>-18.3452577508714</v>
      </c>
      <c r="J18" s="117"/>
      <c r="K18" s="404" t="s">
        <v>16</v>
      </c>
    </row>
    <row r="19" ht="25" customHeight="1" spans="1:11">
      <c r="A19" s="413" t="s">
        <v>29</v>
      </c>
      <c r="B19" s="119">
        <v>4</v>
      </c>
      <c r="C19" s="119">
        <v>0</v>
      </c>
      <c r="D19" s="119">
        <f t="shared" si="3"/>
        <v>0</v>
      </c>
      <c r="E19" s="119">
        <f t="shared" si="4"/>
        <v>0</v>
      </c>
      <c r="F19" s="119">
        <v>4</v>
      </c>
      <c r="G19" s="119">
        <v>0</v>
      </c>
      <c r="H19" s="120">
        <f t="shared" si="1"/>
        <v>0</v>
      </c>
      <c r="I19" s="120">
        <f t="shared" si="2"/>
        <v>0</v>
      </c>
      <c r="J19" s="117"/>
      <c r="K19" s="404" t="s">
        <v>19</v>
      </c>
    </row>
    <row r="20" ht="25" customHeight="1" spans="1:11">
      <c r="A20" s="413" t="s">
        <v>30</v>
      </c>
      <c r="B20" s="119">
        <v>750</v>
      </c>
      <c r="C20" s="119">
        <v>375</v>
      </c>
      <c r="D20" s="119">
        <f t="shared" si="3"/>
        <v>1200</v>
      </c>
      <c r="E20" s="119">
        <f t="shared" si="4"/>
        <v>600</v>
      </c>
      <c r="F20" s="119">
        <f t="shared" ref="F20:F25" si="5">G20/0.5</f>
        <v>1950</v>
      </c>
      <c r="G20" s="119">
        <v>975</v>
      </c>
      <c r="H20" s="120">
        <f t="shared" si="1"/>
        <v>160</v>
      </c>
      <c r="I20" s="120">
        <f t="shared" si="2"/>
        <v>160</v>
      </c>
      <c r="J20" s="117"/>
      <c r="K20" s="404" t="s">
        <v>16</v>
      </c>
    </row>
    <row r="21" ht="25" customHeight="1" spans="1:11">
      <c r="A21" s="413" t="s">
        <v>31</v>
      </c>
      <c r="B21" s="119">
        <v>16172</v>
      </c>
      <c r="C21" s="119">
        <v>0</v>
      </c>
      <c r="D21" s="119">
        <f t="shared" si="3"/>
        <v>-3672</v>
      </c>
      <c r="E21" s="119">
        <f t="shared" si="4"/>
        <v>0</v>
      </c>
      <c r="F21" s="119">
        <v>12500</v>
      </c>
      <c r="G21" s="119">
        <v>0</v>
      </c>
      <c r="H21" s="120">
        <f t="shared" si="1"/>
        <v>-22.7059114518922</v>
      </c>
      <c r="I21" s="120">
        <f t="shared" si="2"/>
        <v>0</v>
      </c>
      <c r="J21" s="117"/>
      <c r="K21" s="404" t="s">
        <v>19</v>
      </c>
    </row>
    <row r="22" ht="25" customHeight="1" spans="1:11">
      <c r="A22" s="413" t="s">
        <v>32</v>
      </c>
      <c r="B22" s="119">
        <v>226</v>
      </c>
      <c r="C22" s="119">
        <v>113</v>
      </c>
      <c r="D22" s="119">
        <f t="shared" si="3"/>
        <v>0</v>
      </c>
      <c r="E22" s="119">
        <f t="shared" si="4"/>
        <v>0</v>
      </c>
      <c r="F22" s="119">
        <f t="shared" si="5"/>
        <v>226</v>
      </c>
      <c r="G22" s="119">
        <v>113</v>
      </c>
      <c r="H22" s="120">
        <f t="shared" si="1"/>
        <v>0</v>
      </c>
      <c r="I22" s="120">
        <f t="shared" si="2"/>
        <v>0</v>
      </c>
      <c r="J22" s="117"/>
      <c r="K22" s="404" t="s">
        <v>16</v>
      </c>
    </row>
    <row r="23" ht="24.95" hidden="1" customHeight="1" spans="1:10">
      <c r="A23" s="413" t="s">
        <v>33</v>
      </c>
      <c r="B23" s="119">
        <v>0</v>
      </c>
      <c r="C23" s="119">
        <v>0</v>
      </c>
      <c r="D23" s="119">
        <f t="shared" si="3"/>
        <v>0</v>
      </c>
      <c r="E23" s="119">
        <f t="shared" si="4"/>
        <v>0</v>
      </c>
      <c r="F23" s="119">
        <f>G23/0.1</f>
        <v>0</v>
      </c>
      <c r="G23" s="119">
        <v>0</v>
      </c>
      <c r="H23" s="120">
        <f t="shared" si="1"/>
        <v>0</v>
      </c>
      <c r="I23" s="120">
        <f t="shared" si="2"/>
        <v>0</v>
      </c>
      <c r="J23" s="117"/>
    </row>
    <row r="24" ht="25" customHeight="1" spans="1:10">
      <c r="A24" s="124" t="s">
        <v>34</v>
      </c>
      <c r="B24" s="115">
        <f t="shared" ref="B24:G24" si="6">SUM(B25:B37)</f>
        <v>28980.7368421053</v>
      </c>
      <c r="C24" s="115">
        <f t="shared" si="6"/>
        <v>21281</v>
      </c>
      <c r="D24" s="115">
        <f t="shared" si="6"/>
        <v>-4363.87969924812</v>
      </c>
      <c r="E24" s="115">
        <f t="shared" si="6"/>
        <v>-570</v>
      </c>
      <c r="F24" s="115">
        <f t="shared" si="6"/>
        <v>24616.8571428571</v>
      </c>
      <c r="G24" s="115">
        <f t="shared" si="6"/>
        <v>20711</v>
      </c>
      <c r="H24" s="141">
        <f t="shared" si="1"/>
        <v>-15.0578631696761</v>
      </c>
      <c r="I24" s="141">
        <f t="shared" si="2"/>
        <v>-2.67844556176872</v>
      </c>
      <c r="J24" s="122"/>
    </row>
    <row r="25" ht="25" customHeight="1" spans="1:11">
      <c r="A25" s="414" t="s">
        <v>35</v>
      </c>
      <c r="B25" s="119">
        <v>4762</v>
      </c>
      <c r="C25" s="119">
        <v>2381</v>
      </c>
      <c r="D25" s="119">
        <f t="shared" ref="D25:D37" si="7">F25-B25</f>
        <v>-548</v>
      </c>
      <c r="E25" s="119">
        <f t="shared" ref="E25:E37" si="8">G25-C25</f>
        <v>-274</v>
      </c>
      <c r="F25" s="119">
        <f t="shared" si="5"/>
        <v>4214</v>
      </c>
      <c r="G25" s="119">
        <f>2148-41</f>
        <v>2107</v>
      </c>
      <c r="H25" s="120">
        <f t="shared" si="1"/>
        <v>-11.5077698446031</v>
      </c>
      <c r="I25" s="120">
        <f t="shared" si="2"/>
        <v>-11.5077698446031</v>
      </c>
      <c r="J25" s="117"/>
      <c r="K25" s="404" t="s">
        <v>16</v>
      </c>
    </row>
    <row r="26" ht="25" customHeight="1" spans="1:11">
      <c r="A26" s="414" t="s">
        <v>36</v>
      </c>
      <c r="B26" s="119">
        <v>2960</v>
      </c>
      <c r="C26" s="119">
        <v>1036</v>
      </c>
      <c r="D26" s="119">
        <f t="shared" si="7"/>
        <v>-217.142857142857</v>
      </c>
      <c r="E26" s="119">
        <f t="shared" si="8"/>
        <v>-76</v>
      </c>
      <c r="F26" s="119">
        <f>G26/0.35</f>
        <v>2742.85714285714</v>
      </c>
      <c r="G26" s="119">
        <v>960</v>
      </c>
      <c r="H26" s="120">
        <f t="shared" si="1"/>
        <v>-7.33590733590733</v>
      </c>
      <c r="I26" s="120">
        <f t="shared" si="2"/>
        <v>-7.33590733590733</v>
      </c>
      <c r="J26" s="117"/>
      <c r="K26" s="404" t="s">
        <v>16</v>
      </c>
    </row>
    <row r="27" ht="25" customHeight="1" spans="1:11">
      <c r="A27" s="414" t="s">
        <v>37</v>
      </c>
      <c r="B27" s="119">
        <v>1045</v>
      </c>
      <c r="C27" s="119">
        <v>1045</v>
      </c>
      <c r="D27" s="119">
        <f t="shared" si="7"/>
        <v>-696</v>
      </c>
      <c r="E27" s="119">
        <f t="shared" si="8"/>
        <v>-696</v>
      </c>
      <c r="F27" s="119">
        <f t="shared" ref="F27:F33" si="9">G27</f>
        <v>349</v>
      </c>
      <c r="G27" s="119">
        <v>349</v>
      </c>
      <c r="H27" s="120">
        <f t="shared" si="1"/>
        <v>-66.6028708133971</v>
      </c>
      <c r="I27" s="120">
        <f t="shared" si="2"/>
        <v>-66.6028708133971</v>
      </c>
      <c r="J27" s="117"/>
      <c r="K27" s="404"/>
    </row>
    <row r="28" ht="25" customHeight="1" spans="1:11">
      <c r="A28" s="414" t="s">
        <v>38</v>
      </c>
      <c r="B28" s="119">
        <v>62</v>
      </c>
      <c r="C28" s="119">
        <v>62</v>
      </c>
      <c r="D28" s="119">
        <f t="shared" si="7"/>
        <v>-62</v>
      </c>
      <c r="E28" s="119">
        <f t="shared" si="8"/>
        <v>-62</v>
      </c>
      <c r="F28" s="119">
        <f t="shared" si="9"/>
        <v>0</v>
      </c>
      <c r="G28" s="119"/>
      <c r="H28" s="120">
        <f t="shared" si="1"/>
        <v>-100</v>
      </c>
      <c r="I28" s="120">
        <f t="shared" si="2"/>
        <v>-100</v>
      </c>
      <c r="J28" s="117"/>
      <c r="K28" s="404"/>
    </row>
    <row r="29" ht="25" customHeight="1" spans="1:11">
      <c r="A29" s="414" t="s">
        <v>39</v>
      </c>
      <c r="B29" s="119">
        <v>0</v>
      </c>
      <c r="C29" s="119">
        <v>0</v>
      </c>
      <c r="D29" s="119">
        <f t="shared" si="7"/>
        <v>0</v>
      </c>
      <c r="E29" s="119">
        <f t="shared" si="8"/>
        <v>0</v>
      </c>
      <c r="F29" s="119">
        <f t="shared" si="9"/>
        <v>0</v>
      </c>
      <c r="G29" s="119">
        <v>0</v>
      </c>
      <c r="H29" s="120">
        <f t="shared" si="1"/>
        <v>0</v>
      </c>
      <c r="I29" s="120">
        <f t="shared" si="2"/>
        <v>0</v>
      </c>
      <c r="J29" s="117"/>
      <c r="K29" s="404"/>
    </row>
    <row r="30" ht="25" customHeight="1" spans="1:11">
      <c r="A30" s="414" t="s">
        <v>40</v>
      </c>
      <c r="B30" s="119">
        <v>0</v>
      </c>
      <c r="C30" s="119">
        <v>0</v>
      </c>
      <c r="D30" s="119">
        <f t="shared" si="7"/>
        <v>61</v>
      </c>
      <c r="E30" s="119">
        <f t="shared" si="8"/>
        <v>61</v>
      </c>
      <c r="F30" s="119">
        <v>61</v>
      </c>
      <c r="G30" s="119">
        <v>61</v>
      </c>
      <c r="H30" s="120">
        <f t="shared" si="1"/>
        <v>100</v>
      </c>
      <c r="I30" s="120">
        <f t="shared" si="2"/>
        <v>100</v>
      </c>
      <c r="J30" s="117"/>
      <c r="K30" s="404"/>
    </row>
    <row r="31" ht="25" customHeight="1" spans="1:10">
      <c r="A31" s="414" t="s">
        <v>41</v>
      </c>
      <c r="B31" s="119">
        <v>4630</v>
      </c>
      <c r="C31" s="119">
        <v>4630</v>
      </c>
      <c r="D31" s="119">
        <f t="shared" si="7"/>
        <v>-2725</v>
      </c>
      <c r="E31" s="119">
        <f t="shared" si="8"/>
        <v>-2725</v>
      </c>
      <c r="F31" s="119">
        <f t="shared" si="9"/>
        <v>1905</v>
      </c>
      <c r="G31" s="119">
        <f>2458-553</f>
        <v>1905</v>
      </c>
      <c r="H31" s="120">
        <f t="shared" si="1"/>
        <v>-58.8552915766739</v>
      </c>
      <c r="I31" s="120">
        <f t="shared" si="2"/>
        <v>-58.8552915766739</v>
      </c>
      <c r="J31" s="117"/>
    </row>
    <row r="32" ht="25" customHeight="1" spans="1:10">
      <c r="A32" s="414" t="s">
        <v>42</v>
      </c>
      <c r="B32" s="119">
        <v>1828</v>
      </c>
      <c r="C32" s="119">
        <v>1828</v>
      </c>
      <c r="D32" s="119">
        <f t="shared" si="7"/>
        <v>-1197</v>
      </c>
      <c r="E32" s="119">
        <f t="shared" si="8"/>
        <v>-1197</v>
      </c>
      <c r="F32" s="119">
        <f t="shared" si="9"/>
        <v>631</v>
      </c>
      <c r="G32" s="119">
        <v>631</v>
      </c>
      <c r="H32" s="120">
        <f t="shared" si="1"/>
        <v>-65.4814004376368</v>
      </c>
      <c r="I32" s="120">
        <f t="shared" si="2"/>
        <v>-65.4814004376368</v>
      </c>
      <c r="J32" s="117"/>
    </row>
    <row r="33" ht="25" customHeight="1" spans="1:10">
      <c r="A33" s="414" t="s">
        <v>43</v>
      </c>
      <c r="B33" s="119">
        <v>100</v>
      </c>
      <c r="C33" s="119">
        <v>100</v>
      </c>
      <c r="D33" s="119">
        <f t="shared" si="7"/>
        <v>-100</v>
      </c>
      <c r="E33" s="119">
        <f t="shared" si="8"/>
        <v>-100</v>
      </c>
      <c r="F33" s="119">
        <f t="shared" si="9"/>
        <v>0</v>
      </c>
      <c r="G33" s="119"/>
      <c r="H33" s="120">
        <f t="shared" si="1"/>
        <v>-100</v>
      </c>
      <c r="I33" s="120">
        <f t="shared" si="2"/>
        <v>-100</v>
      </c>
      <c r="J33" s="117"/>
    </row>
    <row r="34" ht="25" customHeight="1" spans="1:10">
      <c r="A34" s="414" t="s">
        <v>44</v>
      </c>
      <c r="B34" s="119">
        <v>7894.73684210526</v>
      </c>
      <c r="C34" s="119">
        <v>4500</v>
      </c>
      <c r="D34" s="119">
        <f t="shared" si="7"/>
        <v>3824.26315789474</v>
      </c>
      <c r="E34" s="119">
        <f t="shared" si="8"/>
        <v>7203</v>
      </c>
      <c r="F34" s="119">
        <f>11324+254+41+100</f>
        <v>11719</v>
      </c>
      <c r="G34" s="119">
        <f>11308+254+100+41</f>
        <v>11703</v>
      </c>
      <c r="H34" s="120">
        <f t="shared" si="1"/>
        <v>48.4406666666667</v>
      </c>
      <c r="I34" s="120">
        <f t="shared" si="2"/>
        <v>160.066666666667</v>
      </c>
      <c r="J34" s="117"/>
    </row>
    <row r="35" ht="25" customHeight="1" spans="1:10">
      <c r="A35" s="414" t="s">
        <v>45</v>
      </c>
      <c r="B35" s="119">
        <v>6</v>
      </c>
      <c r="C35" s="119">
        <v>6</v>
      </c>
      <c r="D35" s="119">
        <f t="shared" si="7"/>
        <v>-6</v>
      </c>
      <c r="E35" s="119">
        <f t="shared" si="8"/>
        <v>-6</v>
      </c>
      <c r="F35" s="119"/>
      <c r="G35" s="119"/>
      <c r="H35" s="120">
        <f t="shared" si="1"/>
        <v>-100</v>
      </c>
      <c r="I35" s="120">
        <f t="shared" si="2"/>
        <v>-100</v>
      </c>
      <c r="J35" s="117"/>
    </row>
    <row r="36" ht="25" customHeight="1" spans="1:10">
      <c r="A36" s="414" t="s">
        <v>46</v>
      </c>
      <c r="B36" s="119">
        <v>2507</v>
      </c>
      <c r="C36" s="119">
        <v>2507</v>
      </c>
      <c r="D36" s="119">
        <f t="shared" si="7"/>
        <v>-1579</v>
      </c>
      <c r="E36" s="119">
        <f t="shared" si="8"/>
        <v>-1579</v>
      </c>
      <c r="F36" s="119">
        <f t="shared" ref="F35:F37" si="10">G36</f>
        <v>928</v>
      </c>
      <c r="G36" s="119">
        <f>553+375</f>
        <v>928</v>
      </c>
      <c r="H36" s="120">
        <f t="shared" si="1"/>
        <v>-62.983645791783</v>
      </c>
      <c r="I36" s="120">
        <f t="shared" si="2"/>
        <v>-62.983645791783</v>
      </c>
      <c r="J36" s="117"/>
    </row>
    <row r="37" ht="25" customHeight="1" spans="1:10">
      <c r="A37" s="414" t="s">
        <v>47</v>
      </c>
      <c r="B37" s="119">
        <v>3186</v>
      </c>
      <c r="C37" s="119">
        <v>3186</v>
      </c>
      <c r="D37" s="119">
        <f t="shared" si="7"/>
        <v>-1119</v>
      </c>
      <c r="E37" s="119">
        <f t="shared" si="8"/>
        <v>-1119</v>
      </c>
      <c r="F37" s="119">
        <f t="shared" si="10"/>
        <v>2067</v>
      </c>
      <c r="G37" s="119">
        <f>2018+49</f>
        <v>2067</v>
      </c>
      <c r="H37" s="120">
        <f t="shared" si="1"/>
        <v>-35.1224105461394</v>
      </c>
      <c r="I37" s="120">
        <f t="shared" si="2"/>
        <v>-35.1224105461394</v>
      </c>
      <c r="J37" s="12"/>
    </row>
    <row r="38" s="388" customFormat="1" ht="25" customHeight="1" spans="1:10">
      <c r="A38" s="12" t="s">
        <v>48</v>
      </c>
      <c r="B38" s="115">
        <f t="shared" ref="B38:G38" si="11">+B7+B24</f>
        <v>346863.736842105</v>
      </c>
      <c r="C38" s="115">
        <f t="shared" si="11"/>
        <v>66300</v>
      </c>
      <c r="D38" s="115">
        <f t="shared" si="11"/>
        <v>-29093.8796992481</v>
      </c>
      <c r="E38" s="115">
        <f t="shared" si="11"/>
        <v>-2988</v>
      </c>
      <c r="F38" s="115">
        <f t="shared" si="11"/>
        <v>317769.857142857</v>
      </c>
      <c r="G38" s="115">
        <f t="shared" si="11"/>
        <v>63312</v>
      </c>
      <c r="H38" s="120">
        <f t="shared" si="1"/>
        <v>-8.38769712974978</v>
      </c>
      <c r="I38" s="120">
        <f t="shared" si="2"/>
        <v>-4.50678733031674</v>
      </c>
      <c r="J38" s="122">
        <f>G38-63312</f>
        <v>0</v>
      </c>
    </row>
    <row r="39" ht="25" customHeight="1" spans="1:10">
      <c r="A39" s="414" t="s">
        <v>49</v>
      </c>
      <c r="B39" s="119">
        <f>+B7+B25+B26+B35+B36-540</f>
        <v>327578</v>
      </c>
      <c r="C39" s="119">
        <f>+C7+C25+C26+C35+C36-540</f>
        <v>50409</v>
      </c>
      <c r="D39" s="119">
        <f>+F39-B39</f>
        <v>-27080.1428571428</v>
      </c>
      <c r="E39" s="119">
        <f>+G39-C39</f>
        <v>-4366</v>
      </c>
      <c r="F39" s="119">
        <f>+F7+F25+F26+F35+F36-540</f>
        <v>300497.857142857</v>
      </c>
      <c r="G39" s="119">
        <f>+G7+G25+G26+G35+G36-553</f>
        <v>46043</v>
      </c>
      <c r="H39" s="120">
        <f t="shared" si="1"/>
        <v>-8.26677702933129</v>
      </c>
      <c r="I39" s="120">
        <f t="shared" si="2"/>
        <v>-8.66115177845226</v>
      </c>
      <c r="J39" s="117"/>
    </row>
    <row r="40" ht="25" customHeight="1" spans="1:10">
      <c r="A40" s="415" t="s">
        <v>50</v>
      </c>
      <c r="B40" s="399">
        <f>SUM(B27:B37)-B35-B36+540</f>
        <v>19285.7368421053</v>
      </c>
      <c r="C40" s="399">
        <f>SUM(C27:C37)-C35-C36+540</f>
        <v>15891</v>
      </c>
      <c r="D40" s="399">
        <f>+F40-B40</f>
        <v>-2013.73684210526</v>
      </c>
      <c r="E40" s="399">
        <f>+G40-C40</f>
        <v>1378</v>
      </c>
      <c r="F40" s="399">
        <f>SUM(F27:F37)-F35-F36+540</f>
        <v>17272</v>
      </c>
      <c r="G40" s="399">
        <f>G37+G34+G33+G32+G31+G30+G27+553</f>
        <v>17269</v>
      </c>
      <c r="H40" s="400">
        <f t="shared" si="1"/>
        <v>-10.4415862281642</v>
      </c>
      <c r="I40" s="400">
        <f t="shared" si="2"/>
        <v>8.67157510540557</v>
      </c>
      <c r="J40" s="398"/>
    </row>
    <row r="41" s="388" customFormat="1" ht="25" customHeight="1" spans="1:10">
      <c r="A41" s="401" t="s">
        <v>51</v>
      </c>
      <c r="B41" s="402">
        <v>0</v>
      </c>
      <c r="C41" s="402">
        <f>SUM(C42:C48)</f>
        <v>251068</v>
      </c>
      <c r="D41" s="402">
        <v>0</v>
      </c>
      <c r="E41" s="402">
        <f>SUM(E42:E48)</f>
        <v>-21290</v>
      </c>
      <c r="F41" s="402">
        <v>0</v>
      </c>
      <c r="G41" s="402">
        <f>SUM(G42:G48)</f>
        <v>229778</v>
      </c>
      <c r="H41" s="115">
        <f t="shared" si="1"/>
        <v>0</v>
      </c>
      <c r="I41" s="115">
        <f t="shared" si="2"/>
        <v>-8.47977440374719</v>
      </c>
      <c r="J41" s="405"/>
    </row>
    <row r="42" ht="25" customHeight="1" spans="1:10">
      <c r="A42" s="414" t="s">
        <v>52</v>
      </c>
      <c r="B42" s="119">
        <v>0</v>
      </c>
      <c r="C42" s="119">
        <v>39174</v>
      </c>
      <c r="D42" s="119">
        <v>0</v>
      </c>
      <c r="E42" s="119">
        <f t="shared" ref="E42:E48" si="12">+G42-C42</f>
        <v>7817</v>
      </c>
      <c r="F42" s="119">
        <v>0</v>
      </c>
      <c r="G42" s="119">
        <v>46991</v>
      </c>
      <c r="H42" s="120">
        <f t="shared" si="1"/>
        <v>0</v>
      </c>
      <c r="I42" s="120">
        <f t="shared" ref="I42:I49" si="13">IF(C42=0,IF(G42=0,0,100),100*(G42/C42-1))</f>
        <v>19.9545616990861</v>
      </c>
      <c r="J42" s="121"/>
    </row>
    <row r="43" ht="25" customHeight="1" spans="1:10">
      <c r="A43" s="414" t="s">
        <v>53</v>
      </c>
      <c r="B43" s="119">
        <v>0</v>
      </c>
      <c r="C43" s="119">
        <v>69666</v>
      </c>
      <c r="D43" s="119">
        <v>0</v>
      </c>
      <c r="E43" s="119">
        <f t="shared" si="12"/>
        <v>24496</v>
      </c>
      <c r="F43" s="119">
        <v>0</v>
      </c>
      <c r="G43" s="119">
        <v>94162</v>
      </c>
      <c r="H43" s="120">
        <f t="shared" si="1"/>
        <v>0</v>
      </c>
      <c r="I43" s="120">
        <f t="shared" si="13"/>
        <v>35.1620589670715</v>
      </c>
      <c r="J43" s="121"/>
    </row>
    <row r="44" ht="25" customHeight="1" spans="1:10">
      <c r="A44" s="414" t="s">
        <v>54</v>
      </c>
      <c r="B44" s="119">
        <v>0</v>
      </c>
      <c r="C44" s="119">
        <v>10500</v>
      </c>
      <c r="D44" s="119">
        <v>0</v>
      </c>
      <c r="E44" s="119">
        <f t="shared" si="12"/>
        <v>0</v>
      </c>
      <c r="F44" s="119">
        <v>0</v>
      </c>
      <c r="G44" s="119">
        <v>10500</v>
      </c>
      <c r="H44" s="120">
        <f t="shared" si="1"/>
        <v>0</v>
      </c>
      <c r="I44" s="120">
        <f t="shared" si="13"/>
        <v>0</v>
      </c>
      <c r="J44" s="121"/>
    </row>
    <row r="45" ht="25" customHeight="1" spans="1:10">
      <c r="A45" s="414" t="s">
        <v>55</v>
      </c>
      <c r="B45" s="119"/>
      <c r="C45" s="119">
        <v>57388</v>
      </c>
      <c r="D45" s="119"/>
      <c r="E45" s="119"/>
      <c r="F45" s="119"/>
      <c r="G45" s="119">
        <v>57388</v>
      </c>
      <c r="H45" s="120"/>
      <c r="I45" s="120">
        <f t="shared" si="13"/>
        <v>0</v>
      </c>
      <c r="J45" s="121"/>
    </row>
    <row r="46" ht="25" customHeight="1" spans="1:10">
      <c r="A46" s="414" t="s">
        <v>56</v>
      </c>
      <c r="B46" s="119">
        <v>0</v>
      </c>
      <c r="C46" s="119">
        <v>2051</v>
      </c>
      <c r="D46" s="119">
        <v>0</v>
      </c>
      <c r="E46" s="119">
        <f t="shared" si="12"/>
        <v>0</v>
      </c>
      <c r="F46" s="119">
        <v>0</v>
      </c>
      <c r="G46" s="119">
        <v>2051</v>
      </c>
      <c r="H46" s="120">
        <f>IF(B46=0,IF(F46=0,0,100),100*(F46/B46-1))</f>
        <v>0</v>
      </c>
      <c r="I46" s="120">
        <f t="shared" si="13"/>
        <v>0</v>
      </c>
      <c r="J46" s="121"/>
    </row>
    <row r="47" ht="25" customHeight="1" spans="1:10">
      <c r="A47" s="414" t="s">
        <v>57</v>
      </c>
      <c r="B47" s="119">
        <v>0</v>
      </c>
      <c r="C47" s="119">
        <v>5212</v>
      </c>
      <c r="D47" s="119">
        <v>0</v>
      </c>
      <c r="E47" s="119">
        <f t="shared" si="12"/>
        <v>0</v>
      </c>
      <c r="F47" s="119">
        <v>0</v>
      </c>
      <c r="G47" s="119">
        <v>5212</v>
      </c>
      <c r="H47" s="120">
        <f>IF(B47=0,IF(F47=0,0,100),100*(F47/B47-1))</f>
        <v>0</v>
      </c>
      <c r="I47" s="120">
        <f t="shared" si="13"/>
        <v>0</v>
      </c>
      <c r="J47" s="121"/>
    </row>
    <row r="48" ht="25" customHeight="1" spans="1:10">
      <c r="A48" s="414" t="s">
        <v>58</v>
      </c>
      <c r="B48" s="119">
        <v>0</v>
      </c>
      <c r="C48" s="119">
        <v>67077</v>
      </c>
      <c r="D48" s="119">
        <v>0</v>
      </c>
      <c r="E48" s="119">
        <f t="shared" si="12"/>
        <v>-53603</v>
      </c>
      <c r="F48" s="119">
        <v>0</v>
      </c>
      <c r="G48" s="119">
        <f>459+13000+15</f>
        <v>13474</v>
      </c>
      <c r="H48" s="120">
        <f>IF(B48=0,IF(F48=0,0,100),100*(F48/B48-1))</f>
        <v>0</v>
      </c>
      <c r="I48" s="120">
        <f t="shared" si="13"/>
        <v>-79.912637714865</v>
      </c>
      <c r="J48" s="121"/>
    </row>
    <row r="49" s="389" customFormat="1" ht="25" customHeight="1" spans="1:10">
      <c r="A49" s="12" t="s">
        <v>59</v>
      </c>
      <c r="B49" s="115">
        <f>B41+B38</f>
        <v>346863.736842105</v>
      </c>
      <c r="C49" s="115">
        <f>+C38+C41</f>
        <v>317368</v>
      </c>
      <c r="D49" s="115">
        <f>+D38+D41</f>
        <v>-29093.8796992481</v>
      </c>
      <c r="E49" s="115">
        <f>+E38+E41</f>
        <v>-24278</v>
      </c>
      <c r="F49" s="115">
        <f>F41+F38</f>
        <v>317769.857142857</v>
      </c>
      <c r="G49" s="115">
        <f>+G38+G41</f>
        <v>293090</v>
      </c>
      <c r="H49" s="120">
        <f>IF(B49=0,IF(F49=0,0,100),100*(F49/B49-1))</f>
        <v>-8.38769712974978</v>
      </c>
      <c r="I49" s="120">
        <f t="shared" si="13"/>
        <v>-7.64979456025813</v>
      </c>
      <c r="J49" s="12"/>
    </row>
  </sheetData>
  <mergeCells count="7">
    <mergeCell ref="A2:J2"/>
    <mergeCell ref="A4:A6"/>
    <mergeCell ref="J4:J6"/>
    <mergeCell ref="B4:C5"/>
    <mergeCell ref="D4:E5"/>
    <mergeCell ref="F4:G5"/>
    <mergeCell ref="H4:I5"/>
  </mergeCells>
  <printOptions horizontalCentered="1"/>
  <pageMargins left="0.786805555555556" right="0.786805555555556" top="0.393055555555556" bottom="0.393055555555556" header="0.196527777777778" footer="0.196527777777778"/>
  <pageSetup paperSize="9" scale="87" fitToHeight="0"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28"/>
  <sheetViews>
    <sheetView showZeros="0" zoomScale="90" zoomScaleNormal="90" topLeftCell="B1" workbookViewId="0">
      <pane ySplit="5" topLeftCell="A414" activePane="bottomLeft" state="frozen"/>
      <selection/>
      <selection pane="bottomLeft" activeCell="K418" sqref="K418"/>
    </sheetView>
  </sheetViews>
  <sheetFormatPr defaultColWidth="9" defaultRowHeight="21.95" customHeight="1"/>
  <cols>
    <col min="1" max="1" width="10.625" style="366" customWidth="1"/>
    <col min="2" max="2" width="35.625" style="147" customWidth="1"/>
    <col min="3" max="3" width="10.375" style="367" hidden="1" customWidth="1"/>
    <col min="4" max="13" width="12.625" style="129" customWidth="1"/>
    <col min="14" max="14" width="8.625" style="368" customWidth="1"/>
    <col min="15" max="15" width="50.625" style="104" customWidth="1"/>
    <col min="16" max="17" width="9" style="101" customWidth="1"/>
    <col min="18" max="16384" width="9" style="101"/>
  </cols>
  <sheetData>
    <row r="1" s="101" customFormat="1" ht="20" customHeight="1" spans="1:15">
      <c r="A1" s="369" t="s">
        <v>60</v>
      </c>
      <c r="B1" s="147"/>
      <c r="C1" s="367"/>
      <c r="D1" s="129"/>
      <c r="E1" s="129"/>
      <c r="F1" s="129"/>
      <c r="G1" s="129"/>
      <c r="H1" s="129"/>
      <c r="I1" s="129"/>
      <c r="J1" s="129"/>
      <c r="K1" s="129"/>
      <c r="L1" s="129"/>
      <c r="M1" s="129"/>
      <c r="N1" s="368"/>
      <c r="O1" s="104"/>
    </row>
    <row r="2" s="363" customFormat="1" ht="30" customHeight="1" spans="1:15">
      <c r="A2" s="370" t="s">
        <v>61</v>
      </c>
      <c r="B2" s="370"/>
      <c r="C2" s="370"/>
      <c r="D2" s="370"/>
      <c r="E2" s="370"/>
      <c r="F2" s="370"/>
      <c r="G2" s="370"/>
      <c r="H2" s="370"/>
      <c r="I2" s="370"/>
      <c r="J2" s="370"/>
      <c r="K2" s="370"/>
      <c r="L2" s="370"/>
      <c r="M2" s="370"/>
      <c r="N2" s="376"/>
      <c r="O2" s="377"/>
    </row>
    <row r="3" s="364" customFormat="1" ht="20" customHeight="1" spans="1:15">
      <c r="A3" s="371"/>
      <c r="B3" s="371"/>
      <c r="C3" s="371"/>
      <c r="D3" s="371"/>
      <c r="E3" s="371"/>
      <c r="F3" s="371"/>
      <c r="G3" s="371"/>
      <c r="H3" s="371"/>
      <c r="I3" s="371"/>
      <c r="J3" s="371"/>
      <c r="K3" s="371"/>
      <c r="L3" s="371"/>
      <c r="M3" s="371"/>
      <c r="N3" s="378"/>
      <c r="O3" s="379" t="s">
        <v>5</v>
      </c>
    </row>
    <row r="4" s="109" customFormat="1" ht="30" customHeight="1" spans="1:15">
      <c r="A4" s="13" t="s">
        <v>62</v>
      </c>
      <c r="B4" s="13" t="s">
        <v>63</v>
      </c>
      <c r="C4" s="372" t="s">
        <v>64</v>
      </c>
      <c r="D4" s="134" t="s">
        <v>7</v>
      </c>
      <c r="E4" s="134"/>
      <c r="F4" s="134"/>
      <c r="G4" s="134" t="s">
        <v>8</v>
      </c>
      <c r="H4" s="134"/>
      <c r="I4" s="134"/>
      <c r="J4" s="134"/>
      <c r="K4" s="134" t="s">
        <v>9</v>
      </c>
      <c r="L4" s="134"/>
      <c r="M4" s="134"/>
      <c r="N4" s="372" t="s">
        <v>10</v>
      </c>
      <c r="O4" s="372" t="s">
        <v>11</v>
      </c>
    </row>
    <row r="5" s="109" customFormat="1" ht="30" customHeight="1" spans="1:15">
      <c r="A5" s="13"/>
      <c r="B5" s="13"/>
      <c r="C5" s="372"/>
      <c r="D5" s="373" t="s">
        <v>65</v>
      </c>
      <c r="E5" s="134" t="s">
        <v>66</v>
      </c>
      <c r="F5" s="134" t="s">
        <v>67</v>
      </c>
      <c r="G5" s="134" t="s">
        <v>68</v>
      </c>
      <c r="H5" s="134" t="s">
        <v>69</v>
      </c>
      <c r="I5" s="134" t="s">
        <v>70</v>
      </c>
      <c r="J5" s="134" t="s">
        <v>66</v>
      </c>
      <c r="K5" s="134" t="s">
        <v>65</v>
      </c>
      <c r="L5" s="134" t="s">
        <v>66</v>
      </c>
      <c r="M5" s="134" t="s">
        <v>67</v>
      </c>
      <c r="N5" s="372"/>
      <c r="O5" s="372"/>
    </row>
    <row r="6" s="109" customFormat="1" ht="30" customHeight="1" spans="1:15">
      <c r="A6" s="374">
        <v>201</v>
      </c>
      <c r="B6" s="199" t="s">
        <v>71</v>
      </c>
      <c r="C6" s="375" t="e">
        <f t="shared" ref="C6:I6" si="0">C7+C14+C19+C22+C28+C35+C41+C43+C48+C52+C54+C60+C62+C64+C68+C73+C79+C84+C88+C96+C76</f>
        <v>#REF!</v>
      </c>
      <c r="D6" s="120">
        <f t="shared" si="0"/>
        <v>26960.547</v>
      </c>
      <c r="E6" s="120">
        <v>864.2635</v>
      </c>
      <c r="F6" s="120">
        <f>D6+E6</f>
        <v>27824.8105</v>
      </c>
      <c r="G6" s="120">
        <f t="shared" si="0"/>
        <v>-10339.668947</v>
      </c>
      <c r="H6" s="120">
        <f t="shared" si="0"/>
        <v>-3.53</v>
      </c>
      <c r="I6" s="120">
        <f t="shared" si="0"/>
        <v>494.807025</v>
      </c>
      <c r="J6" s="120">
        <f t="shared" ref="J6:J69" si="1">L6-E6</f>
        <v>-406.5635</v>
      </c>
      <c r="K6" s="120">
        <f>K7+K14+K19+K22+K28+K35+K41+K43+K48+K52+K54+K60+K62+K64+K68+K73+K79+K84+K88+K96+K76+K58</f>
        <v>17112.007958</v>
      </c>
      <c r="L6" s="120">
        <f>L7+L14+L19+L22+L28+L35+L41+L43+L48+L52+L54+L60+L62+L64+L68+L73+L79+L84+L88+L96+L76+L58</f>
        <v>457.7</v>
      </c>
      <c r="M6" s="120">
        <f t="shared" ref="M6:M25" si="2">K6+L6</f>
        <v>17569.707958</v>
      </c>
      <c r="N6" s="380">
        <f t="shared" ref="N6:N69" si="3">(M6-F6)/F6*100</f>
        <v>-36.855965441346</v>
      </c>
      <c r="O6" s="375"/>
    </row>
    <row r="7" s="109" customFormat="1" ht="30" customHeight="1" spans="1:15">
      <c r="A7" s="374">
        <v>20101</v>
      </c>
      <c r="B7" s="199" t="s">
        <v>72</v>
      </c>
      <c r="C7" s="375" t="e">
        <f>C8+C9+C10+C11+C12+C13</f>
        <v>#REF!</v>
      </c>
      <c r="D7" s="120">
        <v>967.69</v>
      </c>
      <c r="E7" s="120">
        <v>120</v>
      </c>
      <c r="F7" s="120">
        <v>1087.69</v>
      </c>
      <c r="G7" s="120">
        <v>-73.2</v>
      </c>
      <c r="H7" s="120">
        <v>0</v>
      </c>
      <c r="I7" s="120">
        <v>9.1212</v>
      </c>
      <c r="J7" s="120">
        <f t="shared" si="1"/>
        <v>-96</v>
      </c>
      <c r="K7" s="120">
        <v>903.4612</v>
      </c>
      <c r="L7" s="120">
        <f>L13</f>
        <v>24</v>
      </c>
      <c r="M7" s="120">
        <f t="shared" si="2"/>
        <v>927.4612</v>
      </c>
      <c r="N7" s="380">
        <f t="shared" si="3"/>
        <v>-14.7311090476147</v>
      </c>
      <c r="O7" s="121"/>
    </row>
    <row r="8" s="109" customFormat="1" ht="30" customHeight="1" spans="1:15">
      <c r="A8" s="374">
        <v>2010101</v>
      </c>
      <c r="B8" s="199" t="s">
        <v>73</v>
      </c>
      <c r="C8" s="375">
        <v>658.68</v>
      </c>
      <c r="D8" s="120">
        <v>759.29</v>
      </c>
      <c r="E8" s="120">
        <v>0</v>
      </c>
      <c r="F8" s="120">
        <v>759.29</v>
      </c>
      <c r="G8" s="120"/>
      <c r="H8" s="120">
        <v>0</v>
      </c>
      <c r="I8" s="120">
        <v>9.1212</v>
      </c>
      <c r="J8" s="120">
        <f t="shared" si="1"/>
        <v>0</v>
      </c>
      <c r="K8" s="120">
        <v>768.2612</v>
      </c>
      <c r="L8" s="120"/>
      <c r="M8" s="120">
        <f t="shared" si="2"/>
        <v>768.2612</v>
      </c>
      <c r="N8" s="380">
        <f t="shared" si="3"/>
        <v>1.18152484557943</v>
      </c>
      <c r="O8" s="121" t="s">
        <v>74</v>
      </c>
    </row>
    <row r="9" s="109" customFormat="1" ht="30" customHeight="1" spans="1:15">
      <c r="A9" s="374">
        <v>2010104</v>
      </c>
      <c r="B9" s="199" t="s">
        <v>75</v>
      </c>
      <c r="C9" s="375" t="e">
        <f>SUM(#REF!)</f>
        <v>#REF!</v>
      </c>
      <c r="D9" s="120">
        <v>32</v>
      </c>
      <c r="E9" s="120">
        <v>0</v>
      </c>
      <c r="F9" s="120">
        <v>32</v>
      </c>
      <c r="G9" s="120">
        <v>-4</v>
      </c>
      <c r="H9" s="120">
        <v>0</v>
      </c>
      <c r="I9" s="120">
        <v>0</v>
      </c>
      <c r="J9" s="120">
        <f t="shared" si="1"/>
        <v>0</v>
      </c>
      <c r="K9" s="120">
        <v>28</v>
      </c>
      <c r="L9" s="120"/>
      <c r="M9" s="120">
        <f t="shared" si="2"/>
        <v>28</v>
      </c>
      <c r="N9" s="380">
        <f t="shared" si="3"/>
        <v>-12.5</v>
      </c>
      <c r="O9" s="375"/>
    </row>
    <row r="10" s="109" customFormat="1" ht="30" customHeight="1" spans="1:15">
      <c r="A10" s="374">
        <v>2010106</v>
      </c>
      <c r="B10" s="199" t="s">
        <v>76</v>
      </c>
      <c r="C10" s="375" t="e">
        <f>#REF!</f>
        <v>#REF!</v>
      </c>
      <c r="D10" s="120">
        <v>4</v>
      </c>
      <c r="E10" s="120">
        <v>0</v>
      </c>
      <c r="F10" s="120">
        <v>4</v>
      </c>
      <c r="G10" s="120">
        <v>-4</v>
      </c>
      <c r="H10" s="120">
        <v>0</v>
      </c>
      <c r="I10" s="120">
        <v>0</v>
      </c>
      <c r="J10" s="120">
        <f t="shared" si="1"/>
        <v>0</v>
      </c>
      <c r="K10" s="120">
        <v>0</v>
      </c>
      <c r="L10" s="120"/>
      <c r="M10" s="120">
        <f t="shared" si="2"/>
        <v>0</v>
      </c>
      <c r="N10" s="380">
        <f t="shared" si="3"/>
        <v>-100</v>
      </c>
      <c r="O10" s="121"/>
    </row>
    <row r="11" s="109" customFormat="1" ht="30" customHeight="1" spans="1:15">
      <c r="A11" s="374">
        <v>2010107</v>
      </c>
      <c r="B11" s="199" t="s">
        <v>77</v>
      </c>
      <c r="C11" s="375" t="e">
        <f>#REF!</f>
        <v>#REF!</v>
      </c>
      <c r="D11" s="120">
        <v>10</v>
      </c>
      <c r="E11" s="120">
        <v>0</v>
      </c>
      <c r="F11" s="120">
        <v>10</v>
      </c>
      <c r="G11" s="120">
        <v>-10</v>
      </c>
      <c r="H11" s="120">
        <v>0</v>
      </c>
      <c r="I11" s="120">
        <v>0</v>
      </c>
      <c r="J11" s="120">
        <f t="shared" si="1"/>
        <v>0</v>
      </c>
      <c r="K11" s="120">
        <v>0</v>
      </c>
      <c r="L11" s="120"/>
      <c r="M11" s="120">
        <f t="shared" si="2"/>
        <v>0</v>
      </c>
      <c r="N11" s="380">
        <f t="shared" si="3"/>
        <v>-100</v>
      </c>
      <c r="O11" s="121"/>
    </row>
    <row r="12" s="109" customFormat="1" ht="30" customHeight="1" spans="1:15">
      <c r="A12" s="374">
        <v>2010108</v>
      </c>
      <c r="B12" s="199" t="s">
        <v>78</v>
      </c>
      <c r="C12" s="375" t="e">
        <f>SUM(#REF!)</f>
        <v>#REF!</v>
      </c>
      <c r="D12" s="120">
        <v>57.4</v>
      </c>
      <c r="E12" s="120">
        <v>0</v>
      </c>
      <c r="F12" s="120">
        <v>57.4</v>
      </c>
      <c r="G12" s="120"/>
      <c r="H12" s="120">
        <v>0</v>
      </c>
      <c r="I12" s="120">
        <v>0</v>
      </c>
      <c r="J12" s="120">
        <f t="shared" si="1"/>
        <v>0</v>
      </c>
      <c r="K12" s="120">
        <v>57.2</v>
      </c>
      <c r="L12" s="120"/>
      <c r="M12" s="120">
        <f t="shared" si="2"/>
        <v>57.2</v>
      </c>
      <c r="N12" s="380">
        <f t="shared" si="3"/>
        <v>-0.348432055749122</v>
      </c>
      <c r="O12" s="375"/>
    </row>
    <row r="13" s="109" customFormat="1" ht="30" customHeight="1" spans="1:15">
      <c r="A13" s="374">
        <v>2010199</v>
      </c>
      <c r="B13" s="199" t="s">
        <v>79</v>
      </c>
      <c r="C13" s="375" t="e">
        <f>SUM(#REF!)</f>
        <v>#REF!</v>
      </c>
      <c r="D13" s="120">
        <v>105</v>
      </c>
      <c r="E13" s="120">
        <v>120</v>
      </c>
      <c r="F13" s="120">
        <v>225</v>
      </c>
      <c r="G13" s="120">
        <v>-55</v>
      </c>
      <c r="H13" s="120">
        <v>0</v>
      </c>
      <c r="I13" s="120">
        <v>0</v>
      </c>
      <c r="J13" s="120">
        <f t="shared" si="1"/>
        <v>-96</v>
      </c>
      <c r="K13" s="120">
        <v>50</v>
      </c>
      <c r="L13" s="120">
        <v>24</v>
      </c>
      <c r="M13" s="120">
        <f t="shared" si="2"/>
        <v>74</v>
      </c>
      <c r="N13" s="380">
        <f t="shared" si="3"/>
        <v>-67.1111111111111</v>
      </c>
      <c r="O13" s="121"/>
    </row>
    <row r="14" s="109" customFormat="1" ht="30" customHeight="1" spans="1:15">
      <c r="A14" s="374">
        <v>20102</v>
      </c>
      <c r="B14" s="199" t="s">
        <v>80</v>
      </c>
      <c r="C14" s="375" t="e">
        <f>C15+C16+C17+#REF!+C18</f>
        <v>#REF!</v>
      </c>
      <c r="D14" s="120">
        <v>545.28</v>
      </c>
      <c r="E14" s="120">
        <v>0</v>
      </c>
      <c r="F14" s="120">
        <v>545.28</v>
      </c>
      <c r="G14" s="120">
        <v>-25.659</v>
      </c>
      <c r="H14" s="120">
        <v>0</v>
      </c>
      <c r="I14" s="120">
        <v>15.5725</v>
      </c>
      <c r="J14" s="120">
        <f t="shared" si="1"/>
        <v>0</v>
      </c>
      <c r="K14" s="120">
        <v>535.1935</v>
      </c>
      <c r="L14" s="120"/>
      <c r="M14" s="120">
        <f t="shared" si="2"/>
        <v>535.1935</v>
      </c>
      <c r="N14" s="380">
        <f t="shared" si="3"/>
        <v>-1.84978359741784</v>
      </c>
      <c r="O14" s="375"/>
    </row>
    <row r="15" s="109" customFormat="1" ht="30" customHeight="1" spans="1:15">
      <c r="A15" s="374">
        <v>2010201</v>
      </c>
      <c r="B15" s="199" t="s">
        <v>73</v>
      </c>
      <c r="C15" s="375" t="e">
        <f>SUM(#REF!)</f>
        <v>#REF!</v>
      </c>
      <c r="D15" s="120">
        <v>494.91</v>
      </c>
      <c r="E15" s="120">
        <v>0</v>
      </c>
      <c r="F15" s="120">
        <v>494.91</v>
      </c>
      <c r="G15" s="120">
        <v>-15</v>
      </c>
      <c r="H15" s="120">
        <v>0</v>
      </c>
      <c r="I15" s="120">
        <v>15.5676</v>
      </c>
      <c r="J15" s="120">
        <f t="shared" si="1"/>
        <v>0</v>
      </c>
      <c r="K15" s="120">
        <v>495.4776</v>
      </c>
      <c r="L15" s="120"/>
      <c r="M15" s="120">
        <f t="shared" si="2"/>
        <v>495.4776</v>
      </c>
      <c r="N15" s="380">
        <f t="shared" si="3"/>
        <v>0.114687518942832</v>
      </c>
      <c r="O15" s="121" t="s">
        <v>74</v>
      </c>
    </row>
    <row r="16" s="109" customFormat="1" ht="30" customHeight="1" spans="1:15">
      <c r="A16" s="374">
        <v>2010204</v>
      </c>
      <c r="B16" s="199" t="s">
        <v>81</v>
      </c>
      <c r="C16" s="375" t="e">
        <f>#REF!</f>
        <v>#REF!</v>
      </c>
      <c r="D16" s="120">
        <v>10.57</v>
      </c>
      <c r="E16" s="120">
        <v>0</v>
      </c>
      <c r="F16" s="120">
        <v>10.57</v>
      </c>
      <c r="G16" s="120">
        <v>0</v>
      </c>
      <c r="H16" s="120">
        <v>0</v>
      </c>
      <c r="I16" s="120">
        <v>0.0049</v>
      </c>
      <c r="J16" s="120">
        <f t="shared" si="1"/>
        <v>0</v>
      </c>
      <c r="K16" s="120">
        <v>10.5749</v>
      </c>
      <c r="L16" s="120"/>
      <c r="M16" s="120">
        <f t="shared" si="2"/>
        <v>10.5749</v>
      </c>
      <c r="N16" s="380">
        <f t="shared" si="3"/>
        <v>0.0463576158940325</v>
      </c>
      <c r="O16" s="121"/>
    </row>
    <row r="17" s="109" customFormat="1" ht="30" customHeight="1" spans="1:15">
      <c r="A17" s="374">
        <v>2010205</v>
      </c>
      <c r="B17" s="199" t="s">
        <v>82</v>
      </c>
      <c r="C17" s="375" t="e">
        <f>#REF!</f>
        <v>#REF!</v>
      </c>
      <c r="D17" s="120">
        <v>5</v>
      </c>
      <c r="E17" s="120">
        <v>0</v>
      </c>
      <c r="F17" s="120">
        <v>5</v>
      </c>
      <c r="G17" s="120">
        <v>-1.329</v>
      </c>
      <c r="H17" s="120">
        <v>0</v>
      </c>
      <c r="I17" s="120">
        <v>0</v>
      </c>
      <c r="J17" s="120">
        <f t="shared" si="1"/>
        <v>0</v>
      </c>
      <c r="K17" s="120">
        <v>3.671</v>
      </c>
      <c r="L17" s="120"/>
      <c r="M17" s="120">
        <f t="shared" si="2"/>
        <v>3.671</v>
      </c>
      <c r="N17" s="380">
        <f t="shared" si="3"/>
        <v>-26.58</v>
      </c>
      <c r="O17" s="375"/>
    </row>
    <row r="18" s="109" customFormat="1" ht="30" customHeight="1" spans="1:15">
      <c r="A18" s="374">
        <v>2010299</v>
      </c>
      <c r="B18" s="199" t="s">
        <v>83</v>
      </c>
      <c r="C18" s="375" t="e">
        <f>SUM(#REF!)</f>
        <v>#REF!</v>
      </c>
      <c r="D18" s="120">
        <v>34.8</v>
      </c>
      <c r="E18" s="120">
        <v>0</v>
      </c>
      <c r="F18" s="120">
        <v>34.8</v>
      </c>
      <c r="G18" s="120">
        <v>-9.33</v>
      </c>
      <c r="H18" s="120">
        <v>0</v>
      </c>
      <c r="I18" s="120">
        <v>0</v>
      </c>
      <c r="J18" s="120">
        <f t="shared" si="1"/>
        <v>0</v>
      </c>
      <c r="K18" s="120">
        <v>25.47</v>
      </c>
      <c r="L18" s="120"/>
      <c r="M18" s="120">
        <f t="shared" si="2"/>
        <v>25.47</v>
      </c>
      <c r="N18" s="380">
        <f t="shared" si="3"/>
        <v>-26.8103448275862</v>
      </c>
      <c r="O18" s="121"/>
    </row>
    <row r="19" s="109" customFormat="1" ht="30" customHeight="1" spans="1:15">
      <c r="A19" s="374">
        <v>20103</v>
      </c>
      <c r="B19" s="199" t="s">
        <v>84</v>
      </c>
      <c r="C19" s="375" t="e">
        <f>C20+C21</f>
        <v>#REF!</v>
      </c>
      <c r="D19" s="120">
        <v>4280.26</v>
      </c>
      <c r="E19" s="120">
        <v>0</v>
      </c>
      <c r="F19" s="120">
        <v>4280.26</v>
      </c>
      <c r="G19" s="120">
        <v>-954.167802</v>
      </c>
      <c r="H19" s="120">
        <v>0</v>
      </c>
      <c r="I19" s="120">
        <v>2.302</v>
      </c>
      <c r="J19" s="120">
        <f t="shared" si="1"/>
        <v>0</v>
      </c>
      <c r="K19" s="120">
        <v>3328.394198</v>
      </c>
      <c r="L19" s="120"/>
      <c r="M19" s="120">
        <f t="shared" si="2"/>
        <v>3328.394198</v>
      </c>
      <c r="N19" s="380">
        <f t="shared" si="3"/>
        <v>-22.2385042497418</v>
      </c>
      <c r="O19" s="121"/>
    </row>
    <row r="20" s="109" customFormat="1" ht="30" customHeight="1" spans="1:15">
      <c r="A20" s="374">
        <v>2010301</v>
      </c>
      <c r="B20" s="199" t="s">
        <v>73</v>
      </c>
      <c r="C20" s="375" t="e">
        <f>SUM(#REF!)</f>
        <v>#REF!</v>
      </c>
      <c r="D20" s="120">
        <v>2256.61</v>
      </c>
      <c r="E20" s="120">
        <v>0</v>
      </c>
      <c r="F20" s="120">
        <v>2256.61</v>
      </c>
      <c r="G20" s="120">
        <v>-25.153</v>
      </c>
      <c r="H20" s="120">
        <v>0</v>
      </c>
      <c r="I20" s="120">
        <v>2.302</v>
      </c>
      <c r="J20" s="120">
        <f t="shared" si="1"/>
        <v>0</v>
      </c>
      <c r="K20" s="120">
        <v>2233.759</v>
      </c>
      <c r="L20" s="120"/>
      <c r="M20" s="120">
        <f t="shared" si="2"/>
        <v>2233.759</v>
      </c>
      <c r="N20" s="380">
        <f t="shared" si="3"/>
        <v>-1.01262513238885</v>
      </c>
      <c r="O20" s="121" t="s">
        <v>74</v>
      </c>
    </row>
    <row r="21" s="109" customFormat="1" ht="30" customHeight="1" spans="1:15">
      <c r="A21" s="374">
        <v>2010399</v>
      </c>
      <c r="B21" s="199" t="s">
        <v>85</v>
      </c>
      <c r="C21" s="375" t="e">
        <f>SUM(#REF!)</f>
        <v>#REF!</v>
      </c>
      <c r="D21" s="120">
        <v>2023.65</v>
      </c>
      <c r="E21" s="120">
        <v>0</v>
      </c>
      <c r="F21" s="120">
        <v>2023.65</v>
      </c>
      <c r="G21" s="120">
        <v>-929.014802</v>
      </c>
      <c r="H21" s="120">
        <v>0</v>
      </c>
      <c r="I21" s="120">
        <v>0</v>
      </c>
      <c r="J21" s="120">
        <f t="shared" si="1"/>
        <v>0</v>
      </c>
      <c r="K21" s="120">
        <v>1094.635198</v>
      </c>
      <c r="L21" s="120"/>
      <c r="M21" s="120">
        <f t="shared" si="2"/>
        <v>1094.635198</v>
      </c>
      <c r="N21" s="380">
        <f t="shared" si="3"/>
        <v>-45.90787942579</v>
      </c>
      <c r="O21" s="121" t="s">
        <v>86</v>
      </c>
    </row>
    <row r="22" s="109" customFormat="1" ht="30" customHeight="1" spans="1:15">
      <c r="A22" s="374">
        <v>20104</v>
      </c>
      <c r="B22" s="199" t="s">
        <v>87</v>
      </c>
      <c r="C22" s="375" t="e">
        <f>C23+C24+C25+C27</f>
        <v>#REF!</v>
      </c>
      <c r="D22" s="120">
        <v>1096.03</v>
      </c>
      <c r="E22" s="120">
        <v>1.93</v>
      </c>
      <c r="F22" s="120">
        <v>1097.96</v>
      </c>
      <c r="G22" s="120">
        <v>-652.02</v>
      </c>
      <c r="H22" s="120">
        <v>0</v>
      </c>
      <c r="I22" s="120">
        <v>28.76</v>
      </c>
      <c r="J22" s="120">
        <f t="shared" si="1"/>
        <v>0.0700000000000001</v>
      </c>
      <c r="K22" s="120">
        <v>472.77</v>
      </c>
      <c r="L22" s="120">
        <f>SUM(L23:L27)</f>
        <v>2</v>
      </c>
      <c r="M22" s="120">
        <f t="shared" si="2"/>
        <v>474.77</v>
      </c>
      <c r="N22" s="380">
        <f t="shared" si="3"/>
        <v>-56.7588983205217</v>
      </c>
      <c r="O22" s="121"/>
    </row>
    <row r="23" s="109" customFormat="1" ht="30" customHeight="1" spans="1:15">
      <c r="A23" s="374">
        <v>2010401</v>
      </c>
      <c r="B23" s="199" t="s">
        <v>73</v>
      </c>
      <c r="C23" s="375" t="e">
        <f>SUM(#REF!)</f>
        <v>#REF!</v>
      </c>
      <c r="D23" s="120">
        <v>316.86</v>
      </c>
      <c r="E23" s="120">
        <v>0</v>
      </c>
      <c r="F23" s="120">
        <v>316.86</v>
      </c>
      <c r="G23" s="120">
        <v>0</v>
      </c>
      <c r="H23" s="120">
        <v>0</v>
      </c>
      <c r="I23" s="120">
        <v>4.78</v>
      </c>
      <c r="J23" s="120">
        <f t="shared" si="1"/>
        <v>0</v>
      </c>
      <c r="K23" s="120">
        <v>321.64</v>
      </c>
      <c r="L23" s="120"/>
      <c r="M23" s="120">
        <f t="shared" si="2"/>
        <v>321.64</v>
      </c>
      <c r="N23" s="380">
        <f t="shared" si="3"/>
        <v>1.50855267310483</v>
      </c>
      <c r="O23" s="121" t="s">
        <v>88</v>
      </c>
    </row>
    <row r="24" s="109" customFormat="1" ht="30" customHeight="1" spans="1:15">
      <c r="A24" s="374">
        <v>2010402</v>
      </c>
      <c r="B24" s="199" t="s">
        <v>89</v>
      </c>
      <c r="C24" s="375" t="e">
        <f>#REF!</f>
        <v>#REF!</v>
      </c>
      <c r="D24" s="120">
        <v>1</v>
      </c>
      <c r="E24" s="120">
        <v>0</v>
      </c>
      <c r="F24" s="120">
        <v>1</v>
      </c>
      <c r="G24" s="120">
        <v>0</v>
      </c>
      <c r="H24" s="120">
        <v>0</v>
      </c>
      <c r="I24" s="120">
        <v>0</v>
      </c>
      <c r="J24" s="120">
        <f t="shared" si="1"/>
        <v>0</v>
      </c>
      <c r="K24" s="120">
        <v>1</v>
      </c>
      <c r="L24" s="120"/>
      <c r="M24" s="120">
        <f t="shared" si="2"/>
        <v>1</v>
      </c>
      <c r="N24" s="380">
        <f t="shared" si="3"/>
        <v>0</v>
      </c>
      <c r="O24" s="121"/>
    </row>
    <row r="25" s="109" customFormat="1" ht="30" customHeight="1" spans="1:15">
      <c r="A25" s="374">
        <v>2010404</v>
      </c>
      <c r="B25" s="199" t="s">
        <v>90</v>
      </c>
      <c r="C25" s="375" t="e">
        <f>#REF!</f>
        <v>#REF!</v>
      </c>
      <c r="D25" s="120">
        <v>3</v>
      </c>
      <c r="E25" s="120">
        <v>0</v>
      </c>
      <c r="F25" s="120">
        <v>3</v>
      </c>
      <c r="G25" s="120">
        <v>0</v>
      </c>
      <c r="H25" s="120">
        <v>0</v>
      </c>
      <c r="I25" s="120">
        <v>0</v>
      </c>
      <c r="J25" s="120">
        <f t="shared" si="1"/>
        <v>0</v>
      </c>
      <c r="K25" s="120">
        <v>3</v>
      </c>
      <c r="L25" s="120"/>
      <c r="M25" s="120">
        <f t="shared" si="2"/>
        <v>3</v>
      </c>
      <c r="N25" s="380">
        <f t="shared" si="3"/>
        <v>0</v>
      </c>
      <c r="O25" s="121"/>
    </row>
    <row r="26" s="109" customFormat="1" ht="30" customHeight="1" spans="1:15">
      <c r="A26" s="374">
        <v>2010408</v>
      </c>
      <c r="B26" s="199" t="s">
        <v>91</v>
      </c>
      <c r="C26" s="375"/>
      <c r="D26" s="120"/>
      <c r="E26" s="120"/>
      <c r="F26" s="120"/>
      <c r="G26" s="120"/>
      <c r="H26" s="120"/>
      <c r="I26" s="120"/>
      <c r="J26" s="120">
        <f t="shared" si="1"/>
        <v>2</v>
      </c>
      <c r="K26" s="120"/>
      <c r="L26" s="120">
        <v>2</v>
      </c>
      <c r="M26" s="120"/>
      <c r="N26" s="380"/>
      <c r="O26" s="121"/>
    </row>
    <row r="27" s="109" customFormat="1" ht="30" customHeight="1" spans="1:15">
      <c r="A27" s="374">
        <v>2010499</v>
      </c>
      <c r="B27" s="199" t="s">
        <v>92</v>
      </c>
      <c r="C27" s="375" t="e">
        <f>SUM(#REF!)</f>
        <v>#REF!</v>
      </c>
      <c r="D27" s="120">
        <v>775.17</v>
      </c>
      <c r="E27" s="120">
        <v>0</v>
      </c>
      <c r="F27" s="120">
        <v>775.17</v>
      </c>
      <c r="G27" s="120">
        <v>-652.02</v>
      </c>
      <c r="H27" s="120">
        <v>0</v>
      </c>
      <c r="I27" s="120">
        <v>23.98</v>
      </c>
      <c r="J27" s="120">
        <f t="shared" si="1"/>
        <v>0</v>
      </c>
      <c r="K27" s="120">
        <v>147.13</v>
      </c>
      <c r="L27" s="120"/>
      <c r="M27" s="120">
        <f t="shared" ref="M27:M57" si="4">K27+L27</f>
        <v>147.13</v>
      </c>
      <c r="N27" s="380">
        <f t="shared" si="3"/>
        <v>-81.0196473031722</v>
      </c>
      <c r="O27" s="121" t="s">
        <v>93</v>
      </c>
    </row>
    <row r="28" s="109" customFormat="1" ht="30" customHeight="1" spans="1:15">
      <c r="A28" s="374">
        <v>20105</v>
      </c>
      <c r="B28" s="199" t="s">
        <v>94</v>
      </c>
      <c r="C28" s="375" t="e">
        <f>C29+C30+C31+C32+C33+C34</f>
        <v>#REF!</v>
      </c>
      <c r="D28" s="120">
        <v>332.51</v>
      </c>
      <c r="E28" s="120">
        <v>71.28</v>
      </c>
      <c r="F28" s="120">
        <v>403.79</v>
      </c>
      <c r="G28" s="120">
        <v>0.52</v>
      </c>
      <c r="H28" s="120">
        <v>0</v>
      </c>
      <c r="I28" s="120">
        <v>0</v>
      </c>
      <c r="J28" s="120">
        <f t="shared" si="1"/>
        <v>-35.28</v>
      </c>
      <c r="K28" s="120">
        <v>333.03</v>
      </c>
      <c r="L28" s="120">
        <f>L31+L34</f>
        <v>36</v>
      </c>
      <c r="M28" s="120">
        <f t="shared" si="4"/>
        <v>369.03</v>
      </c>
      <c r="N28" s="380">
        <f t="shared" si="3"/>
        <v>-8.60843507763938</v>
      </c>
      <c r="O28" s="375"/>
    </row>
    <row r="29" s="109" customFormat="1" ht="30" customHeight="1" spans="1:15">
      <c r="A29" s="374">
        <v>2010501</v>
      </c>
      <c r="B29" s="199" t="s">
        <v>73</v>
      </c>
      <c r="C29" s="375" t="e">
        <f>SUM(#REF!)</f>
        <v>#REF!</v>
      </c>
      <c r="D29" s="120">
        <v>243.08</v>
      </c>
      <c r="E29" s="120">
        <v>0</v>
      </c>
      <c r="F29" s="120">
        <v>243.08</v>
      </c>
      <c r="G29" s="120">
        <v>-0.49</v>
      </c>
      <c r="H29" s="120">
        <v>0</v>
      </c>
      <c r="I29" s="120">
        <v>0</v>
      </c>
      <c r="J29" s="120">
        <f t="shared" si="1"/>
        <v>0</v>
      </c>
      <c r="K29" s="120">
        <v>242.59</v>
      </c>
      <c r="L29" s="120"/>
      <c r="M29" s="120">
        <f t="shared" si="4"/>
        <v>242.59</v>
      </c>
      <c r="N29" s="380">
        <f t="shared" si="3"/>
        <v>-0.201579726838905</v>
      </c>
      <c r="O29" s="121"/>
    </row>
    <row r="30" s="109" customFormat="1" ht="30" customHeight="1" spans="1:15">
      <c r="A30" s="374">
        <v>2010502</v>
      </c>
      <c r="B30" s="199" t="s">
        <v>89</v>
      </c>
      <c r="C30" s="375" t="e">
        <f>SUM(#REF!)</f>
        <v>#REF!</v>
      </c>
      <c r="D30" s="120">
        <v>10</v>
      </c>
      <c r="E30" s="120">
        <v>0</v>
      </c>
      <c r="F30" s="120">
        <v>10</v>
      </c>
      <c r="G30" s="120">
        <v>0</v>
      </c>
      <c r="H30" s="120">
        <v>0</v>
      </c>
      <c r="I30" s="120">
        <v>0</v>
      </c>
      <c r="J30" s="120">
        <f t="shared" si="1"/>
        <v>0</v>
      </c>
      <c r="K30" s="120">
        <v>10</v>
      </c>
      <c r="L30" s="120"/>
      <c r="M30" s="120">
        <f t="shared" si="4"/>
        <v>10</v>
      </c>
      <c r="N30" s="380">
        <f t="shared" si="3"/>
        <v>0</v>
      </c>
      <c r="O30" s="375"/>
    </row>
    <row r="31" s="109" customFormat="1" ht="30" customHeight="1" spans="1:15">
      <c r="A31" s="374">
        <v>2010507</v>
      </c>
      <c r="B31" s="199" t="s">
        <v>95</v>
      </c>
      <c r="C31" s="375" t="e">
        <f>SUM(#REF!)</f>
        <v>#REF!</v>
      </c>
      <c r="D31" s="120">
        <v>50</v>
      </c>
      <c r="E31" s="120">
        <v>16.28</v>
      </c>
      <c r="F31" s="120">
        <v>66.28</v>
      </c>
      <c r="G31" s="120">
        <v>0</v>
      </c>
      <c r="H31" s="120">
        <v>0</v>
      </c>
      <c r="I31" s="120">
        <v>0</v>
      </c>
      <c r="J31" s="120">
        <f t="shared" si="1"/>
        <v>-0.280000000000001</v>
      </c>
      <c r="K31" s="120">
        <v>50</v>
      </c>
      <c r="L31" s="120">
        <v>16</v>
      </c>
      <c r="M31" s="120">
        <f t="shared" si="4"/>
        <v>66</v>
      </c>
      <c r="N31" s="380">
        <f t="shared" si="3"/>
        <v>-0.422450211225107</v>
      </c>
      <c r="O31" s="375"/>
    </row>
    <row r="32" s="109" customFormat="1" ht="30" customHeight="1" spans="1:15">
      <c r="A32" s="374">
        <v>2010508</v>
      </c>
      <c r="B32" s="199" t="s">
        <v>96</v>
      </c>
      <c r="C32" s="375" t="e">
        <f>#REF!+#REF!</f>
        <v>#REF!</v>
      </c>
      <c r="D32" s="120">
        <v>16</v>
      </c>
      <c r="E32" s="120">
        <v>0</v>
      </c>
      <c r="F32" s="120">
        <v>16</v>
      </c>
      <c r="G32" s="120">
        <v>0</v>
      </c>
      <c r="H32" s="120">
        <v>0</v>
      </c>
      <c r="I32" s="120">
        <v>0</v>
      </c>
      <c r="J32" s="120">
        <f t="shared" si="1"/>
        <v>0</v>
      </c>
      <c r="K32" s="120">
        <v>16</v>
      </c>
      <c r="L32" s="120"/>
      <c r="M32" s="120">
        <f t="shared" si="4"/>
        <v>16</v>
      </c>
      <c r="N32" s="380">
        <f t="shared" si="3"/>
        <v>0</v>
      </c>
      <c r="O32" s="121"/>
    </row>
    <row r="33" s="109" customFormat="1" ht="30" customHeight="1" spans="1:15">
      <c r="A33" s="374">
        <v>2010550</v>
      </c>
      <c r="B33" s="199" t="s">
        <v>97</v>
      </c>
      <c r="C33" s="375" t="e">
        <f>SUM(#REF!)</f>
        <v>#REF!</v>
      </c>
      <c r="D33" s="120">
        <v>11.64</v>
      </c>
      <c r="E33" s="120">
        <v>0</v>
      </c>
      <c r="F33" s="120">
        <v>11.64</v>
      </c>
      <c r="G33" s="120">
        <v>1.01</v>
      </c>
      <c r="H33" s="120">
        <v>0</v>
      </c>
      <c r="I33" s="120">
        <v>0</v>
      </c>
      <c r="J33" s="120">
        <f t="shared" si="1"/>
        <v>0</v>
      </c>
      <c r="K33" s="120">
        <v>12.65</v>
      </c>
      <c r="L33" s="120"/>
      <c r="M33" s="120">
        <f t="shared" si="4"/>
        <v>12.65</v>
      </c>
      <c r="N33" s="380">
        <f t="shared" si="3"/>
        <v>8.67697594501718</v>
      </c>
      <c r="O33" s="121" t="s">
        <v>98</v>
      </c>
    </row>
    <row r="34" s="109" customFormat="1" ht="30" customHeight="1" spans="1:15">
      <c r="A34" s="374">
        <v>2010599</v>
      </c>
      <c r="B34" s="199" t="s">
        <v>99</v>
      </c>
      <c r="C34" s="375" t="e">
        <f>SUM(#REF!)</f>
        <v>#REF!</v>
      </c>
      <c r="D34" s="120">
        <v>1.79</v>
      </c>
      <c r="E34" s="120">
        <v>55</v>
      </c>
      <c r="F34" s="120">
        <v>56.79</v>
      </c>
      <c r="G34" s="120">
        <v>0</v>
      </c>
      <c r="H34" s="120">
        <v>0</v>
      </c>
      <c r="I34" s="120">
        <v>0</v>
      </c>
      <c r="J34" s="120">
        <f t="shared" si="1"/>
        <v>-35</v>
      </c>
      <c r="K34" s="120">
        <v>1.79</v>
      </c>
      <c r="L34" s="120">
        <v>20</v>
      </c>
      <c r="M34" s="120">
        <f t="shared" si="4"/>
        <v>21.79</v>
      </c>
      <c r="N34" s="380">
        <f t="shared" si="3"/>
        <v>-61.630568762106</v>
      </c>
      <c r="O34" s="375"/>
    </row>
    <row r="35" s="109" customFormat="1" ht="30" customHeight="1" spans="1:15">
      <c r="A35" s="374">
        <v>20106</v>
      </c>
      <c r="B35" s="199" t="s">
        <v>100</v>
      </c>
      <c r="C35" s="375" t="e">
        <f>C36+C37+C38+C39+C40</f>
        <v>#REF!</v>
      </c>
      <c r="D35" s="120">
        <v>1713.44</v>
      </c>
      <c r="E35" s="120">
        <v>25</v>
      </c>
      <c r="F35" s="120">
        <v>1738.44</v>
      </c>
      <c r="G35" s="120">
        <v>-560.875885</v>
      </c>
      <c r="H35" s="120">
        <v>0</v>
      </c>
      <c r="I35" s="120">
        <v>13.58575</v>
      </c>
      <c r="J35" s="120">
        <f t="shared" si="1"/>
        <v>12</v>
      </c>
      <c r="K35" s="120">
        <v>1166.149865</v>
      </c>
      <c r="L35" s="120">
        <f>L40</f>
        <v>37</v>
      </c>
      <c r="M35" s="120">
        <f t="shared" si="4"/>
        <v>1203.149865</v>
      </c>
      <c r="N35" s="380">
        <f t="shared" si="3"/>
        <v>-30.7914069510596</v>
      </c>
      <c r="O35" s="375"/>
    </row>
    <row r="36" s="109" customFormat="1" ht="30" customHeight="1" spans="1:15">
      <c r="A36" s="374">
        <v>2010601</v>
      </c>
      <c r="B36" s="199" t="s">
        <v>73</v>
      </c>
      <c r="C36" s="375" t="e">
        <f>SUM(#REF!)</f>
        <v>#REF!</v>
      </c>
      <c r="D36" s="120">
        <v>720.74</v>
      </c>
      <c r="E36" s="120">
        <v>0</v>
      </c>
      <c r="F36" s="120">
        <v>720.74</v>
      </c>
      <c r="G36" s="120">
        <v>-14.4081</v>
      </c>
      <c r="H36" s="120">
        <v>0</v>
      </c>
      <c r="I36" s="120">
        <v>13.58575</v>
      </c>
      <c r="J36" s="120">
        <f t="shared" si="1"/>
        <v>0</v>
      </c>
      <c r="K36" s="120">
        <v>719.91765</v>
      </c>
      <c r="L36" s="120"/>
      <c r="M36" s="120">
        <f t="shared" si="4"/>
        <v>719.91765</v>
      </c>
      <c r="N36" s="380">
        <f t="shared" si="3"/>
        <v>-0.114098010378226</v>
      </c>
      <c r="O36" s="375" t="s">
        <v>101</v>
      </c>
    </row>
    <row r="37" s="109" customFormat="1" ht="30" customHeight="1" spans="1:15">
      <c r="A37" s="374">
        <v>2010605</v>
      </c>
      <c r="B37" s="199" t="s">
        <v>102</v>
      </c>
      <c r="C37" s="375" t="e">
        <f>#REF!+#REF!</f>
        <v>#REF!</v>
      </c>
      <c r="D37" s="120">
        <v>11</v>
      </c>
      <c r="E37" s="120">
        <v>0</v>
      </c>
      <c r="F37" s="120">
        <v>11</v>
      </c>
      <c r="G37" s="120">
        <v>-10.5455</v>
      </c>
      <c r="H37" s="120">
        <v>0</v>
      </c>
      <c r="I37" s="120">
        <v>0</v>
      </c>
      <c r="J37" s="120">
        <f t="shared" si="1"/>
        <v>0</v>
      </c>
      <c r="K37" s="120">
        <v>0.4545</v>
      </c>
      <c r="L37" s="120"/>
      <c r="M37" s="120">
        <f t="shared" si="4"/>
        <v>0.4545</v>
      </c>
      <c r="N37" s="380">
        <f t="shared" si="3"/>
        <v>-95.8681818181818</v>
      </c>
      <c r="O37" s="121"/>
    </row>
    <row r="38" s="109" customFormat="1" ht="30" customHeight="1" spans="1:15">
      <c r="A38" s="374">
        <v>2010607</v>
      </c>
      <c r="B38" s="199" t="s">
        <v>103</v>
      </c>
      <c r="C38" s="375" t="e">
        <f>SUM(#REF!)</f>
        <v>#REF!</v>
      </c>
      <c r="D38" s="120">
        <v>167</v>
      </c>
      <c r="E38" s="120">
        <v>0</v>
      </c>
      <c r="F38" s="120">
        <v>167</v>
      </c>
      <c r="G38" s="120">
        <v>-53.7445</v>
      </c>
      <c r="H38" s="120">
        <v>0</v>
      </c>
      <c r="I38" s="120">
        <v>0</v>
      </c>
      <c r="J38" s="120">
        <f t="shared" si="1"/>
        <v>0</v>
      </c>
      <c r="K38" s="120">
        <v>113.2555</v>
      </c>
      <c r="L38" s="120"/>
      <c r="M38" s="120">
        <f t="shared" si="4"/>
        <v>113.2555</v>
      </c>
      <c r="N38" s="380">
        <f t="shared" si="3"/>
        <v>-32.1823353293413</v>
      </c>
      <c r="O38" s="375" t="s">
        <v>104</v>
      </c>
    </row>
    <row r="39" s="109" customFormat="1" ht="30" customHeight="1" spans="1:15">
      <c r="A39" s="374">
        <v>2010608</v>
      </c>
      <c r="B39" s="374" t="s">
        <v>105</v>
      </c>
      <c r="C39" s="375" t="e">
        <f>#REF!+#REF!</f>
        <v>#REF!</v>
      </c>
      <c r="D39" s="120">
        <v>522</v>
      </c>
      <c r="E39" s="120">
        <v>0</v>
      </c>
      <c r="F39" s="120">
        <v>522</v>
      </c>
      <c r="G39" s="120">
        <v>-373.475749</v>
      </c>
      <c r="H39" s="120">
        <v>0</v>
      </c>
      <c r="I39" s="120">
        <v>0</v>
      </c>
      <c r="J39" s="120">
        <f t="shared" si="1"/>
        <v>0</v>
      </c>
      <c r="K39" s="120">
        <v>148.524251</v>
      </c>
      <c r="L39" s="120"/>
      <c r="M39" s="120">
        <f t="shared" si="4"/>
        <v>148.524251</v>
      </c>
      <c r="N39" s="380">
        <f t="shared" si="3"/>
        <v>-71.5470783524904</v>
      </c>
      <c r="O39" s="375" t="s">
        <v>106</v>
      </c>
    </row>
    <row r="40" s="109" customFormat="1" ht="30" customHeight="1" spans="1:15">
      <c r="A40" s="374">
        <v>2010699</v>
      </c>
      <c r="B40" s="199" t="s">
        <v>107</v>
      </c>
      <c r="C40" s="375" t="e">
        <f>SUM(#REF!)</f>
        <v>#REF!</v>
      </c>
      <c r="D40" s="120">
        <v>292.7</v>
      </c>
      <c r="E40" s="120">
        <v>25</v>
      </c>
      <c r="F40" s="120">
        <v>317.7</v>
      </c>
      <c r="G40" s="120">
        <v>-108.702036</v>
      </c>
      <c r="H40" s="120">
        <v>0</v>
      </c>
      <c r="I40" s="120">
        <v>0</v>
      </c>
      <c r="J40" s="120">
        <f t="shared" si="1"/>
        <v>12</v>
      </c>
      <c r="K40" s="120">
        <v>183.997964</v>
      </c>
      <c r="L40" s="120">
        <v>37</v>
      </c>
      <c r="M40" s="120">
        <f t="shared" si="4"/>
        <v>220.997964</v>
      </c>
      <c r="N40" s="380">
        <f t="shared" si="3"/>
        <v>-30.4381605288008</v>
      </c>
      <c r="O40" s="121"/>
    </row>
    <row r="41" s="109" customFormat="1" ht="30" customHeight="1" spans="1:15">
      <c r="A41" s="374">
        <v>20107</v>
      </c>
      <c r="B41" s="199" t="s">
        <v>108</v>
      </c>
      <c r="C41" s="375" t="e">
        <f>C42</f>
        <v>#REF!</v>
      </c>
      <c r="D41" s="120">
        <v>3829</v>
      </c>
      <c r="E41" s="120">
        <v>20.7</v>
      </c>
      <c r="F41" s="120">
        <v>3849.7</v>
      </c>
      <c r="G41" s="120">
        <v>-2795.7</v>
      </c>
      <c r="H41" s="120">
        <v>0</v>
      </c>
      <c r="I41" s="120">
        <v>0</v>
      </c>
      <c r="J41" s="120">
        <f t="shared" si="1"/>
        <v>0</v>
      </c>
      <c r="K41" s="120">
        <v>1033.3</v>
      </c>
      <c r="L41" s="120">
        <f>L42</f>
        <v>20.7</v>
      </c>
      <c r="M41" s="120">
        <f t="shared" si="4"/>
        <v>1054</v>
      </c>
      <c r="N41" s="380">
        <f t="shared" si="3"/>
        <v>-72.6212432137569</v>
      </c>
      <c r="O41" s="121"/>
    </row>
    <row r="42" s="109" customFormat="1" ht="30" customHeight="1" spans="1:15">
      <c r="A42" s="374">
        <v>2010799</v>
      </c>
      <c r="B42" s="199" t="s">
        <v>108</v>
      </c>
      <c r="C42" s="375" t="e">
        <f>SUM(#REF!)</f>
        <v>#REF!</v>
      </c>
      <c r="D42" s="120">
        <v>3829</v>
      </c>
      <c r="E42" s="120">
        <v>20.7</v>
      </c>
      <c r="F42" s="120">
        <v>3849.7</v>
      </c>
      <c r="G42" s="120">
        <v>-2795.7</v>
      </c>
      <c r="H42" s="120">
        <v>0</v>
      </c>
      <c r="I42" s="120">
        <v>0</v>
      </c>
      <c r="J42" s="120">
        <f t="shared" si="1"/>
        <v>0</v>
      </c>
      <c r="K42" s="120">
        <v>1033.3</v>
      </c>
      <c r="L42" s="120">
        <v>20.7</v>
      </c>
      <c r="M42" s="120">
        <f t="shared" si="4"/>
        <v>1054</v>
      </c>
      <c r="N42" s="380">
        <f t="shared" si="3"/>
        <v>-72.6212432137569</v>
      </c>
      <c r="O42" s="121" t="s">
        <v>109</v>
      </c>
    </row>
    <row r="43" s="109" customFormat="1" ht="30" customHeight="1" spans="1:15">
      <c r="A43" s="374">
        <v>20108</v>
      </c>
      <c r="B43" s="199" t="s">
        <v>110</v>
      </c>
      <c r="C43" s="375" t="e">
        <f>C44+C45+C46+C47</f>
        <v>#REF!</v>
      </c>
      <c r="D43" s="120">
        <v>455.34</v>
      </c>
      <c r="E43" s="120">
        <v>0</v>
      </c>
      <c r="F43" s="120">
        <v>455.34</v>
      </c>
      <c r="G43" s="120">
        <v>-82.279333</v>
      </c>
      <c r="H43" s="120">
        <v>0</v>
      </c>
      <c r="I43" s="120">
        <v>29.8305</v>
      </c>
      <c r="J43" s="120">
        <f t="shared" si="1"/>
        <v>0</v>
      </c>
      <c r="K43" s="120">
        <v>402.894047</v>
      </c>
      <c r="L43" s="120"/>
      <c r="M43" s="120">
        <f t="shared" si="4"/>
        <v>402.894047</v>
      </c>
      <c r="N43" s="380">
        <f t="shared" si="3"/>
        <v>-11.5179762375368</v>
      </c>
      <c r="O43" s="121"/>
    </row>
    <row r="44" s="109" customFormat="1" ht="30" customHeight="1" spans="1:15">
      <c r="A44" s="374">
        <v>2010801</v>
      </c>
      <c r="B44" s="199" t="s">
        <v>73</v>
      </c>
      <c r="C44" s="375" t="e">
        <f>SUM(#REF!)</f>
        <v>#REF!</v>
      </c>
      <c r="D44" s="120">
        <v>240.68</v>
      </c>
      <c r="E44" s="120">
        <v>0</v>
      </c>
      <c r="F44" s="120">
        <v>240.68</v>
      </c>
      <c r="G44" s="120">
        <v>-7.12</v>
      </c>
      <c r="H44" s="120">
        <v>0</v>
      </c>
      <c r="I44" s="120">
        <v>19.656</v>
      </c>
      <c r="J44" s="120">
        <f t="shared" si="1"/>
        <v>0</v>
      </c>
      <c r="K44" s="120">
        <v>253.216</v>
      </c>
      <c r="L44" s="120"/>
      <c r="M44" s="120">
        <f t="shared" si="4"/>
        <v>253.216</v>
      </c>
      <c r="N44" s="380">
        <f t="shared" si="3"/>
        <v>5.20857570217717</v>
      </c>
      <c r="O44" s="121" t="s">
        <v>101</v>
      </c>
    </row>
    <row r="45" s="109" customFormat="1" ht="30" customHeight="1" spans="1:15">
      <c r="A45" s="374">
        <v>2010804</v>
      </c>
      <c r="B45" s="199" t="s">
        <v>111</v>
      </c>
      <c r="C45" s="375" t="e">
        <f>SUM(#REF!)</f>
        <v>#REF!</v>
      </c>
      <c r="D45" s="120">
        <v>179.96</v>
      </c>
      <c r="E45" s="120">
        <v>0</v>
      </c>
      <c r="F45" s="120">
        <v>179.96</v>
      </c>
      <c r="G45" s="120">
        <v>-72.779333</v>
      </c>
      <c r="H45" s="120">
        <v>0</v>
      </c>
      <c r="I45" s="120"/>
      <c r="J45" s="120">
        <f t="shared" si="1"/>
        <v>0</v>
      </c>
      <c r="K45" s="120">
        <v>107.183547</v>
      </c>
      <c r="L45" s="120"/>
      <c r="M45" s="120">
        <f t="shared" si="4"/>
        <v>107.183547</v>
      </c>
      <c r="N45" s="380">
        <f t="shared" si="3"/>
        <v>-40.440349522116</v>
      </c>
      <c r="O45" s="375"/>
    </row>
    <row r="46" s="109" customFormat="1" ht="30" customHeight="1" spans="1:15">
      <c r="A46" s="374">
        <v>2010806</v>
      </c>
      <c r="B46" s="199" t="s">
        <v>103</v>
      </c>
      <c r="C46" s="375" t="e">
        <f>#REF!</f>
        <v>#REF!</v>
      </c>
      <c r="D46" s="120">
        <v>2</v>
      </c>
      <c r="E46" s="120">
        <v>0</v>
      </c>
      <c r="F46" s="120">
        <v>2</v>
      </c>
      <c r="G46" s="120">
        <v>-2</v>
      </c>
      <c r="H46" s="120">
        <v>0</v>
      </c>
      <c r="I46" s="120">
        <v>0</v>
      </c>
      <c r="J46" s="120">
        <f t="shared" si="1"/>
        <v>0</v>
      </c>
      <c r="K46" s="120">
        <v>0</v>
      </c>
      <c r="L46" s="120"/>
      <c r="M46" s="120">
        <f t="shared" si="4"/>
        <v>0</v>
      </c>
      <c r="N46" s="380">
        <f t="shared" si="3"/>
        <v>-100</v>
      </c>
      <c r="O46" s="121"/>
    </row>
    <row r="47" s="109" customFormat="1" ht="30" customHeight="1" spans="1:15">
      <c r="A47" s="374">
        <v>2010850</v>
      </c>
      <c r="B47" s="199" t="s">
        <v>97</v>
      </c>
      <c r="C47" s="375" t="e">
        <f>SUM(#REF!)</f>
        <v>#REF!</v>
      </c>
      <c r="D47" s="120">
        <v>32.7</v>
      </c>
      <c r="E47" s="120">
        <v>0</v>
      </c>
      <c r="F47" s="120">
        <v>32.7</v>
      </c>
      <c r="G47" s="120">
        <v>-0.38</v>
      </c>
      <c r="H47" s="120">
        <v>0</v>
      </c>
      <c r="I47" s="120">
        <v>10.1745</v>
      </c>
      <c r="J47" s="120">
        <f t="shared" si="1"/>
        <v>0</v>
      </c>
      <c r="K47" s="120">
        <v>42.4945</v>
      </c>
      <c r="L47" s="120"/>
      <c r="M47" s="120">
        <f t="shared" si="4"/>
        <v>42.4945</v>
      </c>
      <c r="N47" s="380">
        <f t="shared" si="3"/>
        <v>29.9525993883792</v>
      </c>
      <c r="O47" s="121" t="s">
        <v>101</v>
      </c>
    </row>
    <row r="48" s="109" customFormat="1" ht="30" customHeight="1" spans="1:15">
      <c r="A48" s="374">
        <v>20110</v>
      </c>
      <c r="B48" s="199" t="s">
        <v>112</v>
      </c>
      <c r="C48" s="375" t="e">
        <f>C49+C51+#REF!+C50</f>
        <v>#REF!</v>
      </c>
      <c r="D48" s="120">
        <v>1136.89</v>
      </c>
      <c r="E48" s="120">
        <v>0</v>
      </c>
      <c r="F48" s="120">
        <v>1136.89</v>
      </c>
      <c r="G48" s="120">
        <v>-43.0998</v>
      </c>
      <c r="H48" s="120">
        <v>0</v>
      </c>
      <c r="I48" s="120">
        <v>3.695</v>
      </c>
      <c r="J48" s="120">
        <f t="shared" si="1"/>
        <v>0</v>
      </c>
      <c r="K48" s="120">
        <v>1097.4852</v>
      </c>
      <c r="L48" s="120"/>
      <c r="M48" s="120">
        <f t="shared" si="4"/>
        <v>1097.4852</v>
      </c>
      <c r="N48" s="380">
        <f t="shared" si="3"/>
        <v>-3.46601694095295</v>
      </c>
      <c r="O48" s="375"/>
    </row>
    <row r="49" s="109" customFormat="1" ht="30" customHeight="1" spans="1:15">
      <c r="A49" s="374">
        <v>2011001</v>
      </c>
      <c r="B49" s="199" t="s">
        <v>73</v>
      </c>
      <c r="C49" s="375" t="e">
        <f>SUM(#REF!)</f>
        <v>#REF!</v>
      </c>
      <c r="D49" s="120">
        <v>1075.69</v>
      </c>
      <c r="E49" s="120">
        <v>0</v>
      </c>
      <c r="F49" s="120">
        <v>1075.69</v>
      </c>
      <c r="G49" s="120">
        <v>-24.28</v>
      </c>
      <c r="H49" s="120">
        <v>0</v>
      </c>
      <c r="I49" s="120">
        <v>3.695</v>
      </c>
      <c r="J49" s="120">
        <f t="shared" si="1"/>
        <v>0</v>
      </c>
      <c r="K49" s="120">
        <v>1055.105</v>
      </c>
      <c r="L49" s="120"/>
      <c r="M49" s="120">
        <f t="shared" si="4"/>
        <v>1055.105</v>
      </c>
      <c r="N49" s="380">
        <f t="shared" si="3"/>
        <v>-1.91365542117153</v>
      </c>
      <c r="O49" s="121" t="s">
        <v>101</v>
      </c>
    </row>
    <row r="50" s="109" customFormat="1" ht="30" customHeight="1" spans="1:15">
      <c r="A50" s="374" t="s">
        <v>113</v>
      </c>
      <c r="B50" s="199" t="s">
        <v>114</v>
      </c>
      <c r="C50" s="375" t="e">
        <f>#REF!</f>
        <v>#REF!</v>
      </c>
      <c r="D50" s="120">
        <v>27</v>
      </c>
      <c r="E50" s="120">
        <v>0</v>
      </c>
      <c r="F50" s="120">
        <v>27</v>
      </c>
      <c r="G50" s="120">
        <v>-8.8198</v>
      </c>
      <c r="H50" s="120">
        <v>0</v>
      </c>
      <c r="I50" s="120">
        <v>0</v>
      </c>
      <c r="J50" s="120">
        <f t="shared" si="1"/>
        <v>0</v>
      </c>
      <c r="K50" s="120">
        <v>18.1802</v>
      </c>
      <c r="L50" s="120"/>
      <c r="M50" s="120">
        <f t="shared" si="4"/>
        <v>18.1802</v>
      </c>
      <c r="N50" s="380">
        <f t="shared" si="3"/>
        <v>-32.6659259259259</v>
      </c>
      <c r="O50" s="121"/>
    </row>
    <row r="51" s="109" customFormat="1" ht="30" customHeight="1" spans="1:15">
      <c r="A51" s="374" t="s">
        <v>115</v>
      </c>
      <c r="B51" s="199" t="s">
        <v>116</v>
      </c>
      <c r="C51" s="375" t="e">
        <f>SUM(#REF!)</f>
        <v>#REF!</v>
      </c>
      <c r="D51" s="120">
        <v>34.2</v>
      </c>
      <c r="E51" s="120">
        <v>0</v>
      </c>
      <c r="F51" s="120">
        <v>34.2</v>
      </c>
      <c r="G51" s="120">
        <v>-10</v>
      </c>
      <c r="H51" s="120">
        <v>0</v>
      </c>
      <c r="I51" s="120">
        <v>0</v>
      </c>
      <c r="J51" s="120">
        <f t="shared" si="1"/>
        <v>0</v>
      </c>
      <c r="K51" s="120">
        <v>24.2</v>
      </c>
      <c r="L51" s="120"/>
      <c r="M51" s="120">
        <f t="shared" si="4"/>
        <v>24.2</v>
      </c>
      <c r="N51" s="380">
        <f t="shared" si="3"/>
        <v>-29.2397660818714</v>
      </c>
      <c r="O51" s="121"/>
    </row>
    <row r="52" s="109" customFormat="1" ht="30" customHeight="1" spans="1:15">
      <c r="A52" s="374">
        <v>20111</v>
      </c>
      <c r="B52" s="199" t="s">
        <v>117</v>
      </c>
      <c r="C52" s="375" t="e">
        <f>+C53</f>
        <v>#REF!</v>
      </c>
      <c r="D52" s="120">
        <v>125.62</v>
      </c>
      <c r="E52" s="120">
        <v>0</v>
      </c>
      <c r="F52" s="120">
        <v>125.62</v>
      </c>
      <c r="G52" s="120">
        <v>-3.933</v>
      </c>
      <c r="H52" s="120">
        <v>0</v>
      </c>
      <c r="I52" s="120">
        <v>0</v>
      </c>
      <c r="J52" s="120">
        <f t="shared" si="1"/>
        <v>0</v>
      </c>
      <c r="K52" s="120">
        <v>121.687</v>
      </c>
      <c r="L52" s="120"/>
      <c r="M52" s="120">
        <f t="shared" si="4"/>
        <v>121.687</v>
      </c>
      <c r="N52" s="380">
        <f t="shared" si="3"/>
        <v>-3.13087088043306</v>
      </c>
      <c r="O52" s="375"/>
    </row>
    <row r="53" s="109" customFormat="1" ht="30" customHeight="1" spans="1:15">
      <c r="A53" s="374">
        <v>2011199</v>
      </c>
      <c r="B53" s="199" t="s">
        <v>118</v>
      </c>
      <c r="C53" s="375" t="e">
        <f>SUM(#REF!)</f>
        <v>#REF!</v>
      </c>
      <c r="D53" s="120">
        <v>125.62</v>
      </c>
      <c r="E53" s="120">
        <v>0</v>
      </c>
      <c r="F53" s="120">
        <v>125.62</v>
      </c>
      <c r="G53" s="120">
        <v>-3.933</v>
      </c>
      <c r="H53" s="120">
        <v>0</v>
      </c>
      <c r="I53" s="120">
        <v>0</v>
      </c>
      <c r="J53" s="120">
        <f t="shared" si="1"/>
        <v>0</v>
      </c>
      <c r="K53" s="120">
        <v>121.687</v>
      </c>
      <c r="L53" s="120"/>
      <c r="M53" s="120">
        <f t="shared" si="4"/>
        <v>121.687</v>
      </c>
      <c r="N53" s="380">
        <f t="shared" si="3"/>
        <v>-3.13087088043306</v>
      </c>
      <c r="O53" s="121"/>
    </row>
    <row r="54" s="109" customFormat="1" ht="30" customHeight="1" spans="1:15">
      <c r="A54" s="374">
        <v>20113</v>
      </c>
      <c r="B54" s="199" t="s">
        <v>119</v>
      </c>
      <c r="C54" s="375" t="e">
        <f>C55+C56+C57</f>
        <v>#REF!</v>
      </c>
      <c r="D54" s="120">
        <v>857.77</v>
      </c>
      <c r="E54" s="120">
        <v>0</v>
      </c>
      <c r="F54" s="120">
        <v>857.77</v>
      </c>
      <c r="G54" s="120">
        <v>-40.008382</v>
      </c>
      <c r="H54" s="120">
        <v>-3.53</v>
      </c>
      <c r="I54" s="120">
        <v>-27.16</v>
      </c>
      <c r="J54" s="120">
        <f t="shared" si="1"/>
        <v>0</v>
      </c>
      <c r="K54" s="120">
        <v>787.071618</v>
      </c>
      <c r="L54" s="120"/>
      <c r="M54" s="120">
        <f t="shared" si="4"/>
        <v>787.071618</v>
      </c>
      <c r="N54" s="380">
        <f t="shared" si="3"/>
        <v>-8.2421140865267</v>
      </c>
      <c r="O54" s="375"/>
    </row>
    <row r="55" s="109" customFormat="1" ht="30" customHeight="1" spans="1:15">
      <c r="A55" s="374">
        <v>2011301</v>
      </c>
      <c r="B55" s="199" t="s">
        <v>73</v>
      </c>
      <c r="C55" s="375" t="e">
        <f>SUM(#REF!)</f>
        <v>#REF!</v>
      </c>
      <c r="D55" s="120">
        <v>418.85</v>
      </c>
      <c r="E55" s="120">
        <v>0</v>
      </c>
      <c r="F55" s="120">
        <v>418.85</v>
      </c>
      <c r="G55" s="120">
        <v>0</v>
      </c>
      <c r="H55" s="120">
        <v>0</v>
      </c>
      <c r="I55" s="120">
        <v>-44.98</v>
      </c>
      <c r="J55" s="120">
        <f t="shared" si="1"/>
        <v>0</v>
      </c>
      <c r="K55" s="120">
        <v>373.87</v>
      </c>
      <c r="L55" s="120"/>
      <c r="M55" s="120">
        <f t="shared" si="4"/>
        <v>373.87</v>
      </c>
      <c r="N55" s="380">
        <f t="shared" si="3"/>
        <v>-10.7389280171899</v>
      </c>
      <c r="O55" s="121" t="s">
        <v>120</v>
      </c>
    </row>
    <row r="56" s="109" customFormat="1" ht="30" customHeight="1" spans="1:15">
      <c r="A56" s="374">
        <v>2011308</v>
      </c>
      <c r="B56" s="199" t="s">
        <v>121</v>
      </c>
      <c r="C56" s="375" t="e">
        <f>SUM(#REF!)</f>
        <v>#REF!</v>
      </c>
      <c r="D56" s="120">
        <v>63.29</v>
      </c>
      <c r="E56" s="120">
        <v>0</v>
      </c>
      <c r="F56" s="120">
        <v>63.29</v>
      </c>
      <c r="G56" s="120">
        <v>-13.29</v>
      </c>
      <c r="H56" s="120">
        <v>0</v>
      </c>
      <c r="I56" s="120">
        <v>0</v>
      </c>
      <c r="J56" s="120">
        <f t="shared" si="1"/>
        <v>0</v>
      </c>
      <c r="K56" s="120">
        <v>50</v>
      </c>
      <c r="L56" s="120"/>
      <c r="M56" s="120">
        <f t="shared" si="4"/>
        <v>50</v>
      </c>
      <c r="N56" s="380">
        <f t="shared" si="3"/>
        <v>-20.9985779744035</v>
      </c>
      <c r="O56" s="121" t="s">
        <v>122</v>
      </c>
    </row>
    <row r="57" s="109" customFormat="1" ht="30" customHeight="1" spans="1:15">
      <c r="A57" s="374">
        <v>2011399</v>
      </c>
      <c r="B57" s="199" t="s">
        <v>123</v>
      </c>
      <c r="C57" s="375" t="e">
        <f>SUM(#REF!)</f>
        <v>#REF!</v>
      </c>
      <c r="D57" s="120">
        <v>375.63</v>
      </c>
      <c r="E57" s="120">
        <v>0</v>
      </c>
      <c r="F57" s="120">
        <v>375.63</v>
      </c>
      <c r="G57" s="120">
        <v>-26.718382</v>
      </c>
      <c r="H57" s="120">
        <v>-3.53</v>
      </c>
      <c r="I57" s="120">
        <v>17.82</v>
      </c>
      <c r="J57" s="120">
        <f t="shared" si="1"/>
        <v>0</v>
      </c>
      <c r="K57" s="120">
        <v>363.201618</v>
      </c>
      <c r="L57" s="120"/>
      <c r="M57" s="120">
        <f t="shared" si="4"/>
        <v>363.201618</v>
      </c>
      <c r="N57" s="380">
        <f t="shared" si="3"/>
        <v>-3.3086766232729</v>
      </c>
      <c r="O57" s="121" t="s">
        <v>101</v>
      </c>
    </row>
    <row r="58" s="109" customFormat="1" ht="30" customHeight="1" spans="1:15">
      <c r="A58" s="374">
        <v>20114</v>
      </c>
      <c r="B58" s="199" t="s">
        <v>124</v>
      </c>
      <c r="C58" s="375"/>
      <c r="D58" s="120"/>
      <c r="E58" s="120"/>
      <c r="F58" s="120"/>
      <c r="G58" s="120"/>
      <c r="H58" s="120"/>
      <c r="I58" s="120"/>
      <c r="J58" s="120">
        <f t="shared" si="1"/>
        <v>34</v>
      </c>
      <c r="K58" s="120"/>
      <c r="L58" s="120">
        <f>L59</f>
        <v>34</v>
      </c>
      <c r="M58" s="120"/>
      <c r="N58" s="380"/>
      <c r="O58" s="121"/>
    </row>
    <row r="59" s="109" customFormat="1" ht="30" customHeight="1" spans="1:15">
      <c r="A59" s="374">
        <v>2011499</v>
      </c>
      <c r="B59" s="199" t="s">
        <v>125</v>
      </c>
      <c r="C59" s="375"/>
      <c r="D59" s="120"/>
      <c r="E59" s="120"/>
      <c r="F59" s="120"/>
      <c r="G59" s="120"/>
      <c r="H59" s="120"/>
      <c r="I59" s="120"/>
      <c r="J59" s="120">
        <f t="shared" si="1"/>
        <v>34</v>
      </c>
      <c r="K59" s="120"/>
      <c r="L59" s="120">
        <v>34</v>
      </c>
      <c r="M59" s="120"/>
      <c r="N59" s="380"/>
      <c r="O59" s="121"/>
    </row>
    <row r="60" s="109" customFormat="1" ht="30" customHeight="1" spans="1:15">
      <c r="A60" s="374">
        <v>20125</v>
      </c>
      <c r="B60" s="199" t="s">
        <v>126</v>
      </c>
      <c r="C60" s="375" t="e">
        <f>+C61</f>
        <v>#REF!</v>
      </c>
      <c r="D60" s="120">
        <v>4</v>
      </c>
      <c r="E60" s="120">
        <v>0</v>
      </c>
      <c r="F60" s="120">
        <v>4</v>
      </c>
      <c r="G60" s="120">
        <v>0</v>
      </c>
      <c r="H60" s="120">
        <v>0</v>
      </c>
      <c r="I60" s="120">
        <v>0</v>
      </c>
      <c r="J60" s="120">
        <f t="shared" si="1"/>
        <v>0</v>
      </c>
      <c r="K60" s="120">
        <v>4</v>
      </c>
      <c r="L60" s="120"/>
      <c r="M60" s="120">
        <f t="shared" ref="M60:M71" si="5">K60+L60</f>
        <v>4</v>
      </c>
      <c r="N60" s="380">
        <f t="shared" si="3"/>
        <v>0</v>
      </c>
      <c r="O60" s="375"/>
    </row>
    <row r="61" s="109" customFormat="1" ht="30" customHeight="1" spans="1:15">
      <c r="A61" s="374">
        <v>2012505</v>
      </c>
      <c r="B61" s="199" t="s">
        <v>127</v>
      </c>
      <c r="C61" s="375" t="e">
        <f>#REF!</f>
        <v>#REF!</v>
      </c>
      <c r="D61" s="120">
        <v>4</v>
      </c>
      <c r="E61" s="120">
        <v>0</v>
      </c>
      <c r="F61" s="120">
        <v>4</v>
      </c>
      <c r="G61" s="120">
        <v>0</v>
      </c>
      <c r="H61" s="120">
        <v>0</v>
      </c>
      <c r="I61" s="120">
        <v>0</v>
      </c>
      <c r="J61" s="120">
        <f t="shared" si="1"/>
        <v>0</v>
      </c>
      <c r="K61" s="120">
        <v>4</v>
      </c>
      <c r="L61" s="120"/>
      <c r="M61" s="120">
        <f t="shared" si="5"/>
        <v>4</v>
      </c>
      <c r="N61" s="380">
        <f t="shared" si="3"/>
        <v>0</v>
      </c>
      <c r="O61" s="121"/>
    </row>
    <row r="62" s="109" customFormat="1" ht="30" customHeight="1" spans="1:15">
      <c r="A62" s="374">
        <v>20126</v>
      </c>
      <c r="B62" s="199" t="s">
        <v>128</v>
      </c>
      <c r="C62" s="375" t="e">
        <f>C63</f>
        <v>#REF!</v>
      </c>
      <c r="D62" s="120">
        <v>291.89</v>
      </c>
      <c r="E62" s="120">
        <v>0</v>
      </c>
      <c r="F62" s="120">
        <v>291.89</v>
      </c>
      <c r="G62" s="120">
        <v>-94.085704</v>
      </c>
      <c r="H62" s="120">
        <v>0</v>
      </c>
      <c r="I62" s="120">
        <v>0</v>
      </c>
      <c r="J62" s="120">
        <f t="shared" si="1"/>
        <v>0</v>
      </c>
      <c r="K62" s="120">
        <v>197.804296</v>
      </c>
      <c r="L62" s="120"/>
      <c r="M62" s="120">
        <f t="shared" si="5"/>
        <v>197.804296</v>
      </c>
      <c r="N62" s="380">
        <f t="shared" si="3"/>
        <v>-32.2332741786289</v>
      </c>
      <c r="O62" s="121"/>
    </row>
    <row r="63" s="109" customFormat="1" ht="30" customHeight="1" spans="1:15">
      <c r="A63" s="374">
        <v>2012604</v>
      </c>
      <c r="B63" s="199" t="s">
        <v>129</v>
      </c>
      <c r="C63" s="375" t="e">
        <f>SUM(#REF!)</f>
        <v>#REF!</v>
      </c>
      <c r="D63" s="120">
        <v>291.89</v>
      </c>
      <c r="E63" s="120">
        <v>0</v>
      </c>
      <c r="F63" s="120">
        <v>291.89</v>
      </c>
      <c r="G63" s="120">
        <v>-94.085704</v>
      </c>
      <c r="H63" s="120">
        <v>0</v>
      </c>
      <c r="I63" s="120">
        <v>0</v>
      </c>
      <c r="J63" s="120">
        <f t="shared" si="1"/>
        <v>0</v>
      </c>
      <c r="K63" s="120">
        <v>197.804296</v>
      </c>
      <c r="L63" s="120"/>
      <c r="M63" s="120">
        <f t="shared" si="5"/>
        <v>197.804296</v>
      </c>
      <c r="N63" s="380">
        <f t="shared" si="3"/>
        <v>-32.2332741786289</v>
      </c>
      <c r="O63" s="121"/>
    </row>
    <row r="64" s="109" customFormat="1" ht="30" customHeight="1" spans="1:15">
      <c r="A64" s="374">
        <v>20128</v>
      </c>
      <c r="B64" s="199" t="s">
        <v>130</v>
      </c>
      <c r="C64" s="375" t="e">
        <f>C65+C66+C67</f>
        <v>#REF!</v>
      </c>
      <c r="D64" s="120">
        <v>87.63</v>
      </c>
      <c r="E64" s="120">
        <v>0</v>
      </c>
      <c r="F64" s="120">
        <v>87.63</v>
      </c>
      <c r="G64" s="120">
        <v>-1.64</v>
      </c>
      <c r="H64" s="120">
        <v>0</v>
      </c>
      <c r="I64" s="120">
        <v>16.1623</v>
      </c>
      <c r="J64" s="120">
        <f t="shared" si="1"/>
        <v>0</v>
      </c>
      <c r="K64" s="120">
        <v>102.1523</v>
      </c>
      <c r="L64" s="120"/>
      <c r="M64" s="120">
        <f t="shared" si="5"/>
        <v>102.1523</v>
      </c>
      <c r="N64" s="380">
        <f t="shared" si="3"/>
        <v>16.5722925938606</v>
      </c>
      <c r="O64" s="121"/>
    </row>
    <row r="65" s="109" customFormat="1" ht="30" customHeight="1" spans="1:15">
      <c r="A65" s="374">
        <v>2012801</v>
      </c>
      <c r="B65" s="199" t="s">
        <v>73</v>
      </c>
      <c r="C65" s="375" t="e">
        <f>SUM(#REF!)</f>
        <v>#REF!</v>
      </c>
      <c r="D65" s="120">
        <v>80.63</v>
      </c>
      <c r="E65" s="120">
        <v>0</v>
      </c>
      <c r="F65" s="120">
        <v>80.63</v>
      </c>
      <c r="G65" s="120">
        <v>-1.64</v>
      </c>
      <c r="H65" s="120">
        <v>0</v>
      </c>
      <c r="I65" s="120">
        <v>16.1623</v>
      </c>
      <c r="J65" s="120">
        <f t="shared" si="1"/>
        <v>0</v>
      </c>
      <c r="K65" s="120">
        <v>95.1523</v>
      </c>
      <c r="L65" s="120"/>
      <c r="M65" s="120">
        <f t="shared" si="5"/>
        <v>95.1523</v>
      </c>
      <c r="N65" s="380">
        <f t="shared" si="3"/>
        <v>18.0110380751581</v>
      </c>
      <c r="O65" s="121" t="s">
        <v>101</v>
      </c>
    </row>
    <row r="66" s="109" customFormat="1" ht="30" customHeight="1" spans="1:15">
      <c r="A66" s="374">
        <v>2012802</v>
      </c>
      <c r="B66" s="199" t="s">
        <v>89</v>
      </c>
      <c r="C66" s="375" t="e">
        <f>#REF!</f>
        <v>#REF!</v>
      </c>
      <c r="D66" s="120">
        <v>2</v>
      </c>
      <c r="E66" s="120">
        <v>0</v>
      </c>
      <c r="F66" s="120">
        <v>2</v>
      </c>
      <c r="G66" s="120">
        <v>0</v>
      </c>
      <c r="H66" s="120">
        <v>0</v>
      </c>
      <c r="I66" s="120">
        <v>0</v>
      </c>
      <c r="J66" s="120">
        <f t="shared" si="1"/>
        <v>0</v>
      </c>
      <c r="K66" s="120">
        <v>2</v>
      </c>
      <c r="L66" s="120"/>
      <c r="M66" s="120">
        <f t="shared" si="5"/>
        <v>2</v>
      </c>
      <c r="N66" s="380">
        <f t="shared" si="3"/>
        <v>0</v>
      </c>
      <c r="O66" s="121"/>
    </row>
    <row r="67" s="109" customFormat="1" ht="30" customHeight="1" spans="1:15">
      <c r="A67" s="374">
        <v>2012899</v>
      </c>
      <c r="B67" s="199" t="s">
        <v>131</v>
      </c>
      <c r="C67" s="375" t="e">
        <f>#REF!+#REF!</f>
        <v>#REF!</v>
      </c>
      <c r="D67" s="120">
        <v>5</v>
      </c>
      <c r="E67" s="120">
        <v>0</v>
      </c>
      <c r="F67" s="120">
        <v>5</v>
      </c>
      <c r="G67" s="120">
        <v>0</v>
      </c>
      <c r="H67" s="120">
        <v>0</v>
      </c>
      <c r="I67" s="120">
        <v>0</v>
      </c>
      <c r="J67" s="120">
        <f t="shared" si="1"/>
        <v>0</v>
      </c>
      <c r="K67" s="120">
        <v>5</v>
      </c>
      <c r="L67" s="120"/>
      <c r="M67" s="120">
        <f t="shared" si="5"/>
        <v>5</v>
      </c>
      <c r="N67" s="380">
        <f t="shared" si="3"/>
        <v>0</v>
      </c>
      <c r="O67" s="375"/>
    </row>
    <row r="68" s="109" customFormat="1" ht="30" customHeight="1" spans="1:15">
      <c r="A68" s="374">
        <v>20129</v>
      </c>
      <c r="B68" s="199" t="s">
        <v>132</v>
      </c>
      <c r="C68" s="375" t="e">
        <f>C69+C70+C71</f>
        <v>#REF!</v>
      </c>
      <c r="D68" s="120">
        <v>742.27</v>
      </c>
      <c r="E68" s="120">
        <v>2.9</v>
      </c>
      <c r="F68" s="120">
        <v>745.17</v>
      </c>
      <c r="G68" s="120">
        <v>-263.0102</v>
      </c>
      <c r="H68" s="120">
        <v>0</v>
      </c>
      <c r="I68" s="120">
        <v>10.8239</v>
      </c>
      <c r="J68" s="120">
        <f t="shared" si="1"/>
        <v>0.1</v>
      </c>
      <c r="K68" s="120">
        <v>490.0837</v>
      </c>
      <c r="L68" s="120">
        <v>3</v>
      </c>
      <c r="M68" s="120">
        <f t="shared" si="5"/>
        <v>493.0837</v>
      </c>
      <c r="N68" s="380">
        <f t="shared" si="3"/>
        <v>-33.8293677952682</v>
      </c>
      <c r="O68" s="375"/>
    </row>
    <row r="69" s="109" customFormat="1" ht="30" customHeight="1" spans="1:15">
      <c r="A69" s="374">
        <v>2012901</v>
      </c>
      <c r="B69" s="199" t="s">
        <v>73</v>
      </c>
      <c r="C69" s="375" t="e">
        <f>SUM(#REF!)</f>
        <v>#REF!</v>
      </c>
      <c r="D69" s="120">
        <v>290.45</v>
      </c>
      <c r="E69" s="120">
        <v>0</v>
      </c>
      <c r="F69" s="120">
        <v>290.45</v>
      </c>
      <c r="G69" s="120">
        <v>-7.775</v>
      </c>
      <c r="H69" s="120">
        <v>0</v>
      </c>
      <c r="I69" s="120">
        <v>10.8239</v>
      </c>
      <c r="J69" s="120">
        <f t="shared" si="1"/>
        <v>0</v>
      </c>
      <c r="K69" s="120">
        <v>293.4989</v>
      </c>
      <c r="L69" s="120"/>
      <c r="M69" s="120">
        <f t="shared" si="5"/>
        <v>293.4989</v>
      </c>
      <c r="N69" s="380">
        <f t="shared" si="3"/>
        <v>1.04971595799621</v>
      </c>
      <c r="O69" s="121" t="s">
        <v>101</v>
      </c>
    </row>
    <row r="70" s="109" customFormat="1" ht="30" customHeight="1" spans="1:15">
      <c r="A70" s="374">
        <v>2012902</v>
      </c>
      <c r="B70" s="199" t="s">
        <v>89</v>
      </c>
      <c r="C70" s="375" t="e">
        <f>SUM(#REF!)</f>
        <v>#REF!</v>
      </c>
      <c r="D70" s="120">
        <v>118</v>
      </c>
      <c r="E70" s="120">
        <v>0</v>
      </c>
      <c r="F70" s="120">
        <v>118</v>
      </c>
      <c r="G70" s="120">
        <v>-88.3252</v>
      </c>
      <c r="H70" s="120">
        <v>0</v>
      </c>
      <c r="I70" s="120">
        <v>0</v>
      </c>
      <c r="J70" s="120">
        <f t="shared" ref="J70:J133" si="6">L70-E70</f>
        <v>0</v>
      </c>
      <c r="K70" s="120">
        <v>29.6748</v>
      </c>
      <c r="L70" s="120"/>
      <c r="M70" s="120">
        <f t="shared" si="5"/>
        <v>29.6748</v>
      </c>
      <c r="N70" s="380">
        <f t="shared" ref="N70:N133" si="7">(M70-F70)/F70*100</f>
        <v>-74.8518644067797</v>
      </c>
      <c r="O70" s="121"/>
    </row>
    <row r="71" s="109" customFormat="1" ht="30" customHeight="1" spans="1:15">
      <c r="A71" s="374">
        <v>2012906</v>
      </c>
      <c r="B71" s="199" t="s">
        <v>133</v>
      </c>
      <c r="C71" s="375" t="e">
        <f>#REF!</f>
        <v>#REF!</v>
      </c>
      <c r="D71" s="120">
        <v>333.82</v>
      </c>
      <c r="E71" s="120">
        <v>0</v>
      </c>
      <c r="F71" s="120">
        <v>333.82</v>
      </c>
      <c r="G71" s="120">
        <v>-166.91</v>
      </c>
      <c r="H71" s="120">
        <v>0</v>
      </c>
      <c r="I71" s="120">
        <v>0</v>
      </c>
      <c r="J71" s="120">
        <f t="shared" si="6"/>
        <v>0</v>
      </c>
      <c r="K71" s="120">
        <v>166.91</v>
      </c>
      <c r="L71" s="120"/>
      <c r="M71" s="120">
        <f t="shared" si="5"/>
        <v>166.91</v>
      </c>
      <c r="N71" s="380">
        <f t="shared" si="7"/>
        <v>-50</v>
      </c>
      <c r="O71" s="375"/>
    </row>
    <row r="72" s="109" customFormat="1" ht="30" customHeight="1" spans="1:15">
      <c r="A72" s="374">
        <v>2012999</v>
      </c>
      <c r="B72" s="199" t="s">
        <v>134</v>
      </c>
      <c r="C72" s="375"/>
      <c r="D72" s="120"/>
      <c r="E72" s="120"/>
      <c r="F72" s="120"/>
      <c r="G72" s="120"/>
      <c r="H72" s="120"/>
      <c r="I72" s="120"/>
      <c r="J72" s="120">
        <f t="shared" si="6"/>
        <v>3</v>
      </c>
      <c r="K72" s="120"/>
      <c r="L72" s="120">
        <v>3</v>
      </c>
      <c r="M72" s="120"/>
      <c r="N72" s="380"/>
      <c r="O72" s="375"/>
    </row>
    <row r="73" s="109" customFormat="1" ht="30" customHeight="1" spans="1:15">
      <c r="A73" s="374">
        <v>20132</v>
      </c>
      <c r="B73" s="199" t="s">
        <v>135</v>
      </c>
      <c r="C73" s="375" t="e">
        <f>C74+C75</f>
        <v>#REF!</v>
      </c>
      <c r="D73" s="120">
        <v>5413.24</v>
      </c>
      <c r="E73" s="120">
        <v>302.8435</v>
      </c>
      <c r="F73" s="120">
        <v>5716.0835</v>
      </c>
      <c r="G73" s="120">
        <v>-3238.12415</v>
      </c>
      <c r="H73" s="120">
        <v>0</v>
      </c>
      <c r="I73" s="120">
        <v>0</v>
      </c>
      <c r="J73" s="120">
        <f t="shared" si="6"/>
        <v>-65.8435</v>
      </c>
      <c r="K73" s="120">
        <v>2175.11585</v>
      </c>
      <c r="L73" s="120">
        <v>237</v>
      </c>
      <c r="M73" s="120">
        <f t="shared" ref="M73:M89" si="8">K73+L73</f>
        <v>2412.11585</v>
      </c>
      <c r="N73" s="380">
        <f t="shared" si="7"/>
        <v>-57.8012488795869</v>
      </c>
      <c r="O73" s="121"/>
    </row>
    <row r="74" s="109" customFormat="1" ht="30" customHeight="1" spans="1:15">
      <c r="A74" s="374">
        <v>2013201</v>
      </c>
      <c r="B74" s="199" t="s">
        <v>73</v>
      </c>
      <c r="C74" s="375" t="e">
        <f>SUM(#REF!)</f>
        <v>#REF!</v>
      </c>
      <c r="D74" s="120">
        <v>491.27</v>
      </c>
      <c r="E74" s="120">
        <v>0</v>
      </c>
      <c r="F74" s="120">
        <v>491.27</v>
      </c>
      <c r="G74" s="120">
        <v>-41.98415</v>
      </c>
      <c r="H74" s="120">
        <v>0</v>
      </c>
      <c r="I74" s="120">
        <v>0</v>
      </c>
      <c r="J74" s="120">
        <f t="shared" si="6"/>
        <v>0</v>
      </c>
      <c r="K74" s="120">
        <v>449.28585</v>
      </c>
      <c r="L74" s="120"/>
      <c r="M74" s="120">
        <f t="shared" si="8"/>
        <v>449.28585</v>
      </c>
      <c r="N74" s="380">
        <f t="shared" si="7"/>
        <v>-8.5460439269648</v>
      </c>
      <c r="O74" s="121"/>
    </row>
    <row r="75" s="109" customFormat="1" ht="30" customHeight="1" spans="1:15">
      <c r="A75" s="374">
        <v>2013299</v>
      </c>
      <c r="B75" s="199" t="s">
        <v>136</v>
      </c>
      <c r="C75" s="375" t="e">
        <f>SUM(#REF!)</f>
        <v>#REF!</v>
      </c>
      <c r="D75" s="120">
        <v>4921.97</v>
      </c>
      <c r="E75" s="120">
        <v>302.8435</v>
      </c>
      <c r="F75" s="120">
        <v>5224.8135</v>
      </c>
      <c r="G75" s="120">
        <v>-3196.14</v>
      </c>
      <c r="H75" s="120">
        <v>0</v>
      </c>
      <c r="I75" s="120">
        <v>0</v>
      </c>
      <c r="J75" s="120">
        <f t="shared" si="6"/>
        <v>-65.8435</v>
      </c>
      <c r="K75" s="120">
        <v>1725.83</v>
      </c>
      <c r="L75" s="120">
        <v>237</v>
      </c>
      <c r="M75" s="120">
        <f t="shared" si="8"/>
        <v>1962.83</v>
      </c>
      <c r="N75" s="380">
        <f t="shared" si="7"/>
        <v>-62.4325346732472</v>
      </c>
      <c r="O75" s="121"/>
    </row>
    <row r="76" s="109" customFormat="1" ht="30" customHeight="1" spans="1:15">
      <c r="A76" s="374">
        <v>20133</v>
      </c>
      <c r="B76" s="199" t="s">
        <v>137</v>
      </c>
      <c r="C76" s="375" t="e">
        <f>C77+C78</f>
        <v>#REF!</v>
      </c>
      <c r="D76" s="120">
        <v>254.48</v>
      </c>
      <c r="E76" s="120">
        <v>0</v>
      </c>
      <c r="F76" s="120">
        <v>254.48</v>
      </c>
      <c r="G76" s="120">
        <v>-12</v>
      </c>
      <c r="H76" s="120">
        <v>0</v>
      </c>
      <c r="I76" s="120">
        <v>19.264</v>
      </c>
      <c r="J76" s="120">
        <f t="shared" si="6"/>
        <v>0</v>
      </c>
      <c r="K76" s="120">
        <v>261.744</v>
      </c>
      <c r="L76" s="120"/>
      <c r="M76" s="120">
        <f t="shared" si="8"/>
        <v>261.744</v>
      </c>
      <c r="N76" s="380">
        <f t="shared" si="7"/>
        <v>2.85444828670231</v>
      </c>
      <c r="O76" s="121"/>
    </row>
    <row r="77" s="109" customFormat="1" ht="30" customHeight="1" spans="1:15">
      <c r="A77" s="374">
        <v>2013301</v>
      </c>
      <c r="B77" s="199" t="s">
        <v>73</v>
      </c>
      <c r="C77" s="375" t="e">
        <f>SUM(#REF!)</f>
        <v>#REF!</v>
      </c>
      <c r="D77" s="120">
        <v>237.57</v>
      </c>
      <c r="E77" s="120">
        <v>0</v>
      </c>
      <c r="F77" s="120">
        <v>237.57</v>
      </c>
      <c r="G77" s="120">
        <v>0</v>
      </c>
      <c r="H77" s="120">
        <v>0</v>
      </c>
      <c r="I77" s="120">
        <v>19.264</v>
      </c>
      <c r="J77" s="120">
        <f t="shared" si="6"/>
        <v>0</v>
      </c>
      <c r="K77" s="120">
        <v>256.834</v>
      </c>
      <c r="L77" s="120"/>
      <c r="M77" s="120">
        <f t="shared" si="8"/>
        <v>256.834</v>
      </c>
      <c r="N77" s="380">
        <f t="shared" si="7"/>
        <v>8.10876794208023</v>
      </c>
      <c r="O77" s="121" t="s">
        <v>101</v>
      </c>
    </row>
    <row r="78" s="109" customFormat="1" ht="30" customHeight="1" spans="1:15">
      <c r="A78" s="374">
        <v>2013399</v>
      </c>
      <c r="B78" s="199" t="s">
        <v>138</v>
      </c>
      <c r="C78" s="375" t="e">
        <f>#REF!+#REF!</f>
        <v>#REF!</v>
      </c>
      <c r="D78" s="120">
        <v>16.91</v>
      </c>
      <c r="E78" s="120">
        <v>0</v>
      </c>
      <c r="F78" s="120">
        <v>16.91</v>
      </c>
      <c r="G78" s="120">
        <v>-12</v>
      </c>
      <c r="H78" s="120">
        <v>0</v>
      </c>
      <c r="I78" s="120">
        <v>0</v>
      </c>
      <c r="J78" s="120">
        <f t="shared" si="6"/>
        <v>0</v>
      </c>
      <c r="K78" s="120">
        <v>4.91</v>
      </c>
      <c r="L78" s="120"/>
      <c r="M78" s="120">
        <f t="shared" si="8"/>
        <v>4.91</v>
      </c>
      <c r="N78" s="380">
        <f t="shared" si="7"/>
        <v>-70.9639266706091</v>
      </c>
      <c r="O78" s="375"/>
    </row>
    <row r="79" s="109" customFormat="1" ht="30" customHeight="1" spans="1:15">
      <c r="A79" s="374">
        <v>20134</v>
      </c>
      <c r="B79" s="199" t="s">
        <v>139</v>
      </c>
      <c r="C79" s="375" t="e">
        <f>C80+C81+C82+C83</f>
        <v>#REF!</v>
      </c>
      <c r="D79" s="120">
        <v>353.63</v>
      </c>
      <c r="E79" s="120">
        <v>0</v>
      </c>
      <c r="F79" s="120">
        <v>353.63</v>
      </c>
      <c r="G79" s="120">
        <v>-62.72</v>
      </c>
      <c r="H79" s="120">
        <v>0</v>
      </c>
      <c r="I79" s="120">
        <v>5.43</v>
      </c>
      <c r="J79" s="120">
        <f t="shared" si="6"/>
        <v>10</v>
      </c>
      <c r="K79" s="120">
        <v>296.34</v>
      </c>
      <c r="L79" s="120">
        <v>10</v>
      </c>
      <c r="M79" s="120">
        <f t="shared" si="8"/>
        <v>306.34</v>
      </c>
      <c r="N79" s="380">
        <f t="shared" si="7"/>
        <v>-13.3727342137262</v>
      </c>
      <c r="O79" s="121"/>
    </row>
    <row r="80" s="109" customFormat="1" ht="30" customHeight="1" spans="1:15">
      <c r="A80" s="374">
        <v>2013401</v>
      </c>
      <c r="B80" s="199" t="s">
        <v>73</v>
      </c>
      <c r="C80" s="375" t="e">
        <f>SUM(#REF!)</f>
        <v>#REF!</v>
      </c>
      <c r="D80" s="120">
        <v>263.47</v>
      </c>
      <c r="E80" s="120">
        <v>0</v>
      </c>
      <c r="F80" s="120">
        <v>263.47</v>
      </c>
      <c r="G80" s="120">
        <v>-0.15</v>
      </c>
      <c r="H80" s="120">
        <v>0</v>
      </c>
      <c r="I80" s="120">
        <v>5.43</v>
      </c>
      <c r="J80" s="120">
        <f t="shared" si="6"/>
        <v>0</v>
      </c>
      <c r="K80" s="120">
        <v>268.75</v>
      </c>
      <c r="L80" s="120"/>
      <c r="M80" s="120">
        <f t="shared" si="8"/>
        <v>268.75</v>
      </c>
      <c r="N80" s="380">
        <f t="shared" si="7"/>
        <v>2.00402322845105</v>
      </c>
      <c r="O80" s="121" t="s">
        <v>101</v>
      </c>
    </row>
    <row r="81" s="109" customFormat="1" ht="30" customHeight="1" spans="1:15">
      <c r="A81" s="374">
        <v>2013404</v>
      </c>
      <c r="B81" s="199" t="s">
        <v>140</v>
      </c>
      <c r="C81" s="375" t="e">
        <f>#REF!</f>
        <v>#REF!</v>
      </c>
      <c r="D81" s="120">
        <v>6</v>
      </c>
      <c r="E81" s="120">
        <v>0</v>
      </c>
      <c r="F81" s="120">
        <v>6</v>
      </c>
      <c r="G81" s="120">
        <v>0</v>
      </c>
      <c r="H81" s="120">
        <v>0</v>
      </c>
      <c r="I81" s="120">
        <v>0</v>
      </c>
      <c r="J81" s="120">
        <f t="shared" si="6"/>
        <v>0</v>
      </c>
      <c r="K81" s="120">
        <v>6</v>
      </c>
      <c r="L81" s="120"/>
      <c r="M81" s="120">
        <f t="shared" si="8"/>
        <v>6</v>
      </c>
      <c r="N81" s="380">
        <f t="shared" si="7"/>
        <v>0</v>
      </c>
      <c r="O81" s="375"/>
    </row>
    <row r="82" s="109" customFormat="1" ht="30" customHeight="1" spans="1:15">
      <c r="A82" s="374">
        <v>2013405</v>
      </c>
      <c r="B82" s="199" t="s">
        <v>141</v>
      </c>
      <c r="C82" s="375" t="e">
        <f>SUM(#REF!)</f>
        <v>#REF!</v>
      </c>
      <c r="D82" s="120">
        <v>23.16</v>
      </c>
      <c r="E82" s="120">
        <v>0</v>
      </c>
      <c r="F82" s="120">
        <v>23.16</v>
      </c>
      <c r="G82" s="120">
        <v>-15.57</v>
      </c>
      <c r="H82" s="120">
        <v>0</v>
      </c>
      <c r="I82" s="120">
        <v>0</v>
      </c>
      <c r="J82" s="120">
        <f t="shared" si="6"/>
        <v>0</v>
      </c>
      <c r="K82" s="120">
        <v>7.59</v>
      </c>
      <c r="L82" s="120"/>
      <c r="M82" s="120">
        <f t="shared" si="8"/>
        <v>7.59</v>
      </c>
      <c r="N82" s="380">
        <f t="shared" si="7"/>
        <v>-67.2279792746114</v>
      </c>
      <c r="O82" s="121"/>
    </row>
    <row r="83" s="109" customFormat="1" ht="30" customHeight="1" spans="1:15">
      <c r="A83" s="374">
        <v>2013499</v>
      </c>
      <c r="B83" s="199" t="s">
        <v>142</v>
      </c>
      <c r="C83" s="375" t="e">
        <f>SUM(#REF!)</f>
        <v>#REF!</v>
      </c>
      <c r="D83" s="120">
        <v>61</v>
      </c>
      <c r="E83" s="120">
        <v>0</v>
      </c>
      <c r="F83" s="120">
        <v>61</v>
      </c>
      <c r="G83" s="120">
        <v>-47</v>
      </c>
      <c r="H83" s="120">
        <v>0</v>
      </c>
      <c r="I83" s="120">
        <v>0</v>
      </c>
      <c r="J83" s="120">
        <f t="shared" si="6"/>
        <v>10</v>
      </c>
      <c r="K83" s="120">
        <v>14</v>
      </c>
      <c r="L83" s="120">
        <v>10</v>
      </c>
      <c r="M83" s="120">
        <f t="shared" si="8"/>
        <v>24</v>
      </c>
      <c r="N83" s="380">
        <f t="shared" si="7"/>
        <v>-60.655737704918</v>
      </c>
      <c r="O83" s="375"/>
    </row>
    <row r="84" s="109" customFormat="1" ht="30" customHeight="1" spans="1:15">
      <c r="A84" s="374">
        <v>20136</v>
      </c>
      <c r="B84" s="199" t="s">
        <v>143</v>
      </c>
      <c r="C84" s="375" t="e">
        <f>C85+C87+C86</f>
        <v>#REF!</v>
      </c>
      <c r="D84" s="120">
        <v>837.81</v>
      </c>
      <c r="E84" s="120">
        <v>0</v>
      </c>
      <c r="F84" s="120">
        <v>837.81</v>
      </c>
      <c r="G84" s="120">
        <v>-108.702065</v>
      </c>
      <c r="H84" s="120">
        <v>0</v>
      </c>
      <c r="I84" s="120">
        <v>20.45</v>
      </c>
      <c r="J84" s="120">
        <f t="shared" si="6"/>
        <v>0</v>
      </c>
      <c r="K84" s="120">
        <v>749.557935</v>
      </c>
      <c r="L84" s="120"/>
      <c r="M84" s="120">
        <f t="shared" si="8"/>
        <v>749.557935</v>
      </c>
      <c r="N84" s="380">
        <f t="shared" si="7"/>
        <v>-10.5336609732517</v>
      </c>
      <c r="O84" s="375"/>
    </row>
    <row r="85" s="109" customFormat="1" ht="30" customHeight="1" spans="1:15">
      <c r="A85" s="374">
        <v>2013601</v>
      </c>
      <c r="B85" s="199" t="s">
        <v>73</v>
      </c>
      <c r="C85" s="375" t="e">
        <f>SUM(#REF!)</f>
        <v>#REF!</v>
      </c>
      <c r="D85" s="120">
        <v>585.78</v>
      </c>
      <c r="E85" s="120">
        <v>0</v>
      </c>
      <c r="F85" s="120">
        <v>585.78</v>
      </c>
      <c r="G85" s="120">
        <v>-48.146</v>
      </c>
      <c r="H85" s="120">
        <v>0</v>
      </c>
      <c r="I85" s="120">
        <v>10.41</v>
      </c>
      <c r="J85" s="120">
        <f t="shared" si="6"/>
        <v>0</v>
      </c>
      <c r="K85" s="120">
        <v>548.044</v>
      </c>
      <c r="L85" s="120"/>
      <c r="M85" s="120">
        <f t="shared" si="8"/>
        <v>548.044</v>
      </c>
      <c r="N85" s="380">
        <f t="shared" si="7"/>
        <v>-6.44200894533784</v>
      </c>
      <c r="O85" s="121" t="s">
        <v>101</v>
      </c>
    </row>
    <row r="86" s="109" customFormat="1" ht="30" customHeight="1" spans="1:15">
      <c r="A86" s="374" t="s">
        <v>144</v>
      </c>
      <c r="B86" s="199" t="s">
        <v>97</v>
      </c>
      <c r="C86" s="375" t="e">
        <f>SUM(#REF!)</f>
        <v>#REF!</v>
      </c>
      <c r="D86" s="120">
        <v>15.99</v>
      </c>
      <c r="E86" s="120">
        <v>0</v>
      </c>
      <c r="F86" s="120">
        <v>15.99</v>
      </c>
      <c r="G86" s="120">
        <v>0</v>
      </c>
      <c r="H86" s="120">
        <v>0</v>
      </c>
      <c r="I86" s="120">
        <v>10.04</v>
      </c>
      <c r="J86" s="120">
        <f t="shared" si="6"/>
        <v>0</v>
      </c>
      <c r="K86" s="120">
        <v>26.03</v>
      </c>
      <c r="L86" s="120"/>
      <c r="M86" s="120">
        <f t="shared" si="8"/>
        <v>26.03</v>
      </c>
      <c r="N86" s="380">
        <f t="shared" si="7"/>
        <v>62.7892432770482</v>
      </c>
      <c r="O86" s="121" t="s">
        <v>101</v>
      </c>
    </row>
    <row r="87" s="109" customFormat="1" ht="30" customHeight="1" spans="1:15">
      <c r="A87" s="374">
        <v>2013699</v>
      </c>
      <c r="B87" s="199" t="s">
        <v>143</v>
      </c>
      <c r="C87" s="375" t="e">
        <f>SUM(#REF!)</f>
        <v>#REF!</v>
      </c>
      <c r="D87" s="120">
        <v>236.04</v>
      </c>
      <c r="E87" s="120">
        <v>0</v>
      </c>
      <c r="F87" s="120">
        <v>236.04</v>
      </c>
      <c r="G87" s="120">
        <v>-60.556065</v>
      </c>
      <c r="H87" s="120">
        <v>0</v>
      </c>
      <c r="I87" s="120">
        <v>0</v>
      </c>
      <c r="J87" s="120">
        <f t="shared" si="6"/>
        <v>0</v>
      </c>
      <c r="K87" s="120">
        <v>175.483935</v>
      </c>
      <c r="L87" s="120"/>
      <c r="M87" s="120">
        <f t="shared" si="8"/>
        <v>175.483935</v>
      </c>
      <c r="N87" s="380">
        <f t="shared" si="7"/>
        <v>-25.655001270971</v>
      </c>
      <c r="O87" s="121"/>
    </row>
    <row r="88" s="109" customFormat="1" ht="30" customHeight="1" spans="1:15">
      <c r="A88" s="374">
        <v>20138</v>
      </c>
      <c r="B88" s="199" t="s">
        <v>145</v>
      </c>
      <c r="C88" s="375" t="e">
        <f>C89+C91+C93+C95+C94</f>
        <v>#REF!</v>
      </c>
      <c r="D88" s="120">
        <v>1608.53</v>
      </c>
      <c r="E88" s="120">
        <v>53.64</v>
      </c>
      <c r="F88" s="120">
        <v>1662.17</v>
      </c>
      <c r="G88" s="120">
        <v>-182.18</v>
      </c>
      <c r="H88" s="120">
        <v>0</v>
      </c>
      <c r="I88" s="120">
        <v>82.37</v>
      </c>
      <c r="J88" s="120">
        <f t="shared" si="6"/>
        <v>0.359999999999999</v>
      </c>
      <c r="K88" s="120">
        <v>1508.72</v>
      </c>
      <c r="L88" s="120">
        <f>L90+L92+L93+L95</f>
        <v>54</v>
      </c>
      <c r="M88" s="120">
        <f t="shared" si="8"/>
        <v>1562.72</v>
      </c>
      <c r="N88" s="380">
        <f t="shared" si="7"/>
        <v>-5.98314251851496</v>
      </c>
      <c r="O88" s="375"/>
    </row>
    <row r="89" s="109" customFormat="1" ht="30" customHeight="1" spans="1:15">
      <c r="A89" s="374">
        <v>2013801</v>
      </c>
      <c r="B89" s="199" t="s">
        <v>73</v>
      </c>
      <c r="C89" s="375" t="e">
        <f>SUM(#REF!)</f>
        <v>#REF!</v>
      </c>
      <c r="D89" s="120">
        <v>1183.04</v>
      </c>
      <c r="E89" s="120">
        <v>0</v>
      </c>
      <c r="F89" s="120">
        <v>1183.04</v>
      </c>
      <c r="G89" s="120">
        <v>-13.3</v>
      </c>
      <c r="H89" s="120">
        <v>0</v>
      </c>
      <c r="I89" s="120">
        <v>53.07</v>
      </c>
      <c r="J89" s="120">
        <f t="shared" si="6"/>
        <v>0</v>
      </c>
      <c r="K89" s="120">
        <v>1222.81</v>
      </c>
      <c r="L89" s="120"/>
      <c r="M89" s="120">
        <f t="shared" si="8"/>
        <v>1222.81</v>
      </c>
      <c r="N89" s="380">
        <f t="shared" si="7"/>
        <v>3.36167838788206</v>
      </c>
      <c r="O89" s="121" t="s">
        <v>88</v>
      </c>
    </row>
    <row r="90" s="109" customFormat="1" ht="30" customHeight="1" spans="1:15">
      <c r="A90" s="374">
        <v>2013804</v>
      </c>
      <c r="B90" s="199" t="s">
        <v>146</v>
      </c>
      <c r="C90" s="375"/>
      <c r="D90" s="120"/>
      <c r="E90" s="120"/>
      <c r="F90" s="120"/>
      <c r="G90" s="120"/>
      <c r="H90" s="120"/>
      <c r="I90" s="120"/>
      <c r="J90" s="120">
        <f t="shared" si="6"/>
        <v>11</v>
      </c>
      <c r="K90" s="120"/>
      <c r="L90" s="120">
        <v>11</v>
      </c>
      <c r="M90" s="120"/>
      <c r="N90" s="380"/>
      <c r="O90" s="121"/>
    </row>
    <row r="91" s="109" customFormat="1" ht="30" customHeight="1" spans="1:15">
      <c r="A91" s="374">
        <v>2013805</v>
      </c>
      <c r="B91" s="199" t="s">
        <v>147</v>
      </c>
      <c r="C91" s="375" t="e">
        <f>#REF!</f>
        <v>#REF!</v>
      </c>
      <c r="D91" s="120">
        <v>5</v>
      </c>
      <c r="E91" s="120">
        <v>0</v>
      </c>
      <c r="F91" s="120">
        <v>5</v>
      </c>
      <c r="G91" s="120">
        <v>-5</v>
      </c>
      <c r="H91" s="120">
        <v>0</v>
      </c>
      <c r="I91" s="120">
        <v>0</v>
      </c>
      <c r="J91" s="120">
        <f t="shared" si="6"/>
        <v>0</v>
      </c>
      <c r="K91" s="120">
        <v>0</v>
      </c>
      <c r="L91" s="120"/>
      <c r="M91" s="120">
        <f t="shared" ref="M91:M107" si="9">K91+L91</f>
        <v>0</v>
      </c>
      <c r="N91" s="380">
        <f t="shared" si="7"/>
        <v>-100</v>
      </c>
      <c r="O91" s="121" t="s">
        <v>148</v>
      </c>
    </row>
    <row r="92" s="109" customFormat="1" ht="30" customHeight="1" spans="1:15">
      <c r="A92" s="374">
        <v>2013810</v>
      </c>
      <c r="B92" s="199" t="s">
        <v>149</v>
      </c>
      <c r="C92" s="375"/>
      <c r="D92" s="120"/>
      <c r="E92" s="120"/>
      <c r="F92" s="120"/>
      <c r="G92" s="120"/>
      <c r="H92" s="120"/>
      <c r="I92" s="120"/>
      <c r="J92" s="120">
        <f t="shared" si="6"/>
        <v>4</v>
      </c>
      <c r="K92" s="120"/>
      <c r="L92" s="120">
        <v>4</v>
      </c>
      <c r="M92" s="120"/>
      <c r="N92" s="380"/>
      <c r="O92" s="121"/>
    </row>
    <row r="93" s="109" customFormat="1" ht="30" customHeight="1" spans="1:15">
      <c r="A93" s="374">
        <v>2013816</v>
      </c>
      <c r="B93" s="199" t="s">
        <v>150</v>
      </c>
      <c r="C93" s="375" t="e">
        <f>#REF!+#REF!+#REF!</f>
        <v>#REF!</v>
      </c>
      <c r="D93" s="120">
        <v>115</v>
      </c>
      <c r="E93" s="120">
        <v>27.25</v>
      </c>
      <c r="F93" s="120">
        <v>142.25</v>
      </c>
      <c r="G93" s="120">
        <v>-1.22</v>
      </c>
      <c r="H93" s="120">
        <v>0</v>
      </c>
      <c r="I93" s="120">
        <v>29</v>
      </c>
      <c r="J93" s="120">
        <f t="shared" si="6"/>
        <v>0.75</v>
      </c>
      <c r="K93" s="120">
        <v>142.78</v>
      </c>
      <c r="L93" s="120">
        <v>28</v>
      </c>
      <c r="M93" s="120">
        <f t="shared" si="9"/>
        <v>170.78</v>
      </c>
      <c r="N93" s="380">
        <f t="shared" si="7"/>
        <v>20.0562390158172</v>
      </c>
      <c r="O93" s="121" t="s">
        <v>151</v>
      </c>
    </row>
    <row r="94" s="109" customFormat="1" ht="30" customHeight="1" spans="1:15">
      <c r="A94" s="374" t="s">
        <v>152</v>
      </c>
      <c r="B94" s="199" t="s">
        <v>97</v>
      </c>
      <c r="C94" s="375" t="e">
        <f>SUM(#REF!)</f>
        <v>#REF!</v>
      </c>
      <c r="D94" s="120">
        <v>4.82</v>
      </c>
      <c r="E94" s="120">
        <v>0</v>
      </c>
      <c r="F94" s="120">
        <v>4.82</v>
      </c>
      <c r="G94" s="120">
        <v>0</v>
      </c>
      <c r="H94" s="120">
        <v>0</v>
      </c>
      <c r="I94" s="120">
        <v>0.3</v>
      </c>
      <c r="J94" s="120">
        <f t="shared" si="6"/>
        <v>0</v>
      </c>
      <c r="K94" s="120">
        <v>5.12</v>
      </c>
      <c r="L94" s="120"/>
      <c r="M94" s="120">
        <f t="shared" si="9"/>
        <v>5.12</v>
      </c>
      <c r="N94" s="380">
        <f t="shared" si="7"/>
        <v>6.22406639004149</v>
      </c>
      <c r="O94" s="121" t="s">
        <v>88</v>
      </c>
    </row>
    <row r="95" s="109" customFormat="1" ht="30" customHeight="1" spans="1:15">
      <c r="A95" s="374">
        <v>2013899</v>
      </c>
      <c r="B95" s="199" t="s">
        <v>153</v>
      </c>
      <c r="C95" s="375" t="e">
        <f>SUM(#REF!)</f>
        <v>#REF!</v>
      </c>
      <c r="D95" s="120">
        <v>300.67</v>
      </c>
      <c r="E95" s="120">
        <v>11.39</v>
      </c>
      <c r="F95" s="120">
        <v>312.06</v>
      </c>
      <c r="G95" s="120">
        <v>-162.66</v>
      </c>
      <c r="H95" s="120">
        <v>0</v>
      </c>
      <c r="I95" s="120">
        <v>0</v>
      </c>
      <c r="J95" s="120">
        <f t="shared" si="6"/>
        <v>-0.390000000000001</v>
      </c>
      <c r="K95" s="120">
        <v>138.01</v>
      </c>
      <c r="L95" s="120">
        <v>11</v>
      </c>
      <c r="M95" s="120">
        <f t="shared" si="9"/>
        <v>149.01</v>
      </c>
      <c r="N95" s="380">
        <f t="shared" si="7"/>
        <v>-52.2495673908864</v>
      </c>
      <c r="O95" s="121" t="s">
        <v>154</v>
      </c>
    </row>
    <row r="96" s="109" customFormat="1" ht="30" customHeight="1" spans="1:15">
      <c r="A96" s="374">
        <v>20199</v>
      </c>
      <c r="B96" s="199" t="s">
        <v>155</v>
      </c>
      <c r="C96" s="375" t="e">
        <f>C97</f>
        <v>#REF!</v>
      </c>
      <c r="D96" s="120">
        <v>2027.237</v>
      </c>
      <c r="E96" s="120">
        <v>177.7</v>
      </c>
      <c r="F96" s="120">
        <v>2204.937</v>
      </c>
      <c r="G96" s="120">
        <v>-1146.783626</v>
      </c>
      <c r="H96" s="120">
        <v>0</v>
      </c>
      <c r="I96" s="120">
        <v>264.599875</v>
      </c>
      <c r="J96" s="120">
        <f t="shared" si="6"/>
        <v>-177.7</v>
      </c>
      <c r="K96" s="120">
        <v>1145.053249</v>
      </c>
      <c r="L96" s="120"/>
      <c r="M96" s="120">
        <f t="shared" si="9"/>
        <v>1145.053249</v>
      </c>
      <c r="N96" s="380">
        <f t="shared" si="7"/>
        <v>-48.0686636851756</v>
      </c>
      <c r="O96" s="121"/>
    </row>
    <row r="97" s="109" customFormat="1" ht="30" customHeight="1" spans="1:15">
      <c r="A97" s="374">
        <v>2019999</v>
      </c>
      <c r="B97" s="199" t="s">
        <v>155</v>
      </c>
      <c r="C97" s="375" t="e">
        <f>SUM(#REF!)</f>
        <v>#REF!</v>
      </c>
      <c r="D97" s="120">
        <v>2027.237</v>
      </c>
      <c r="E97" s="120">
        <v>177.7</v>
      </c>
      <c r="F97" s="120">
        <v>2204.937</v>
      </c>
      <c r="G97" s="120">
        <v>-1146.783626</v>
      </c>
      <c r="H97" s="120">
        <v>0</v>
      </c>
      <c r="I97" s="120">
        <v>264.599875</v>
      </c>
      <c r="J97" s="120">
        <f t="shared" si="6"/>
        <v>-177.7</v>
      </c>
      <c r="K97" s="120">
        <v>1145.053249</v>
      </c>
      <c r="L97" s="120"/>
      <c r="M97" s="120">
        <f t="shared" si="9"/>
        <v>1145.053249</v>
      </c>
      <c r="N97" s="380">
        <f t="shared" si="7"/>
        <v>-48.0686636851756</v>
      </c>
      <c r="O97" s="121" t="s">
        <v>156</v>
      </c>
    </row>
    <row r="98" s="109" customFormat="1" ht="30" customHeight="1" spans="1:15">
      <c r="A98" s="374">
        <v>203</v>
      </c>
      <c r="B98" s="199" t="s">
        <v>157</v>
      </c>
      <c r="C98" s="375" t="e">
        <f t="shared" ref="C98:I98" si="10">C99+C104</f>
        <v>#REF!</v>
      </c>
      <c r="D98" s="120">
        <f t="shared" si="10"/>
        <v>362.68</v>
      </c>
      <c r="E98" s="120">
        <v>17.1</v>
      </c>
      <c r="F98" s="120">
        <f>D98+E98</f>
        <v>379.78</v>
      </c>
      <c r="G98" s="120">
        <f t="shared" si="10"/>
        <v>-125.879504</v>
      </c>
      <c r="H98" s="120">
        <f t="shared" si="10"/>
        <v>0</v>
      </c>
      <c r="I98" s="120">
        <f t="shared" si="10"/>
        <v>0</v>
      </c>
      <c r="J98" s="120">
        <f t="shared" si="6"/>
        <v>-17.1</v>
      </c>
      <c r="K98" s="120">
        <v>236.800496</v>
      </c>
      <c r="L98" s="120">
        <f>L99+L104</f>
        <v>0</v>
      </c>
      <c r="M98" s="120">
        <f t="shared" si="9"/>
        <v>236.800496</v>
      </c>
      <c r="N98" s="380">
        <f t="shared" si="7"/>
        <v>-37.6479814629522</v>
      </c>
      <c r="O98" s="375"/>
    </row>
    <row r="99" s="109" customFormat="1" ht="30" customHeight="1" spans="1:15">
      <c r="A99" s="374">
        <v>20306</v>
      </c>
      <c r="B99" s="199" t="s">
        <v>158</v>
      </c>
      <c r="C99" s="375" t="e">
        <f>C100+C101+C103+C102</f>
        <v>#REF!</v>
      </c>
      <c r="D99" s="120">
        <v>126.75</v>
      </c>
      <c r="E99" s="120">
        <v>17.1</v>
      </c>
      <c r="F99" s="120">
        <v>143.85</v>
      </c>
      <c r="G99" s="120">
        <v>-76</v>
      </c>
      <c r="H99" s="120">
        <v>0</v>
      </c>
      <c r="I99" s="120">
        <v>0</v>
      </c>
      <c r="J99" s="120">
        <f t="shared" si="6"/>
        <v>-17.1</v>
      </c>
      <c r="K99" s="120">
        <v>50.75</v>
      </c>
      <c r="L99" s="120"/>
      <c r="M99" s="120">
        <f t="shared" si="9"/>
        <v>50.75</v>
      </c>
      <c r="N99" s="380">
        <f t="shared" si="7"/>
        <v>-64.7201946472019</v>
      </c>
      <c r="O99" s="375"/>
    </row>
    <row r="100" s="109" customFormat="1" ht="30" customHeight="1" spans="1:15">
      <c r="A100" s="374">
        <v>2030601</v>
      </c>
      <c r="B100" s="199" t="s">
        <v>159</v>
      </c>
      <c r="C100" s="375" t="e">
        <f>#REF!</f>
        <v>#REF!</v>
      </c>
      <c r="D100" s="120">
        <v>40</v>
      </c>
      <c r="E100" s="120">
        <v>17.1</v>
      </c>
      <c r="F100" s="120">
        <v>57.1</v>
      </c>
      <c r="G100" s="120">
        <v>-20</v>
      </c>
      <c r="H100" s="120">
        <v>0</v>
      </c>
      <c r="I100" s="120">
        <v>0</v>
      </c>
      <c r="J100" s="120">
        <f t="shared" si="6"/>
        <v>-17.1</v>
      </c>
      <c r="K100" s="120">
        <v>20</v>
      </c>
      <c r="L100" s="120"/>
      <c r="M100" s="120">
        <f t="shared" si="9"/>
        <v>20</v>
      </c>
      <c r="N100" s="380">
        <f t="shared" si="7"/>
        <v>-64.9737302977233</v>
      </c>
      <c r="O100" s="121"/>
    </row>
    <row r="101" s="109" customFormat="1" ht="30" customHeight="1" spans="1:15">
      <c r="A101" s="374">
        <v>2030603</v>
      </c>
      <c r="B101" s="199" t="s">
        <v>160</v>
      </c>
      <c r="C101" s="375" t="e">
        <f>SUM(#REF!)</f>
        <v>#REF!</v>
      </c>
      <c r="D101" s="120">
        <v>27.75</v>
      </c>
      <c r="E101" s="120">
        <v>0</v>
      </c>
      <c r="F101" s="120">
        <v>27.75</v>
      </c>
      <c r="G101" s="120">
        <v>-24</v>
      </c>
      <c r="H101" s="120">
        <v>0</v>
      </c>
      <c r="I101" s="120">
        <v>0</v>
      </c>
      <c r="J101" s="120">
        <f t="shared" si="6"/>
        <v>0</v>
      </c>
      <c r="K101" s="120">
        <v>3.75</v>
      </c>
      <c r="L101" s="120"/>
      <c r="M101" s="120">
        <f t="shared" si="9"/>
        <v>3.75</v>
      </c>
      <c r="N101" s="380">
        <f t="shared" si="7"/>
        <v>-86.4864864864865</v>
      </c>
      <c r="O101" s="121"/>
    </row>
    <row r="102" s="109" customFormat="1" ht="30" customHeight="1" spans="1:15">
      <c r="A102" s="374">
        <v>2030606</v>
      </c>
      <c r="B102" s="199" t="s">
        <v>161</v>
      </c>
      <c r="C102" s="375" t="e">
        <f>#REF!</f>
        <v>#REF!</v>
      </c>
      <c r="D102" s="120">
        <v>47</v>
      </c>
      <c r="E102" s="120">
        <v>0</v>
      </c>
      <c r="F102" s="120">
        <v>47</v>
      </c>
      <c r="G102" s="120">
        <v>-32</v>
      </c>
      <c r="H102" s="120">
        <v>0</v>
      </c>
      <c r="I102" s="120">
        <v>0</v>
      </c>
      <c r="J102" s="120">
        <f t="shared" si="6"/>
        <v>0</v>
      </c>
      <c r="K102" s="120">
        <v>15</v>
      </c>
      <c r="L102" s="120"/>
      <c r="M102" s="120">
        <f t="shared" si="9"/>
        <v>15</v>
      </c>
      <c r="N102" s="380">
        <f t="shared" si="7"/>
        <v>-68.0851063829787</v>
      </c>
      <c r="O102" s="121"/>
    </row>
    <row r="103" s="109" customFormat="1" ht="30" customHeight="1" spans="1:15">
      <c r="A103" s="374">
        <v>2030607</v>
      </c>
      <c r="B103" s="199" t="s">
        <v>162</v>
      </c>
      <c r="C103" s="375" t="e">
        <f>#REF!</f>
        <v>#REF!</v>
      </c>
      <c r="D103" s="120">
        <v>12</v>
      </c>
      <c r="E103" s="120">
        <v>0</v>
      </c>
      <c r="F103" s="120">
        <v>12</v>
      </c>
      <c r="G103" s="120">
        <v>0</v>
      </c>
      <c r="H103" s="120">
        <v>0</v>
      </c>
      <c r="I103" s="120">
        <v>0</v>
      </c>
      <c r="J103" s="120">
        <f t="shared" si="6"/>
        <v>0</v>
      </c>
      <c r="K103" s="120">
        <v>12</v>
      </c>
      <c r="L103" s="120"/>
      <c r="M103" s="120">
        <f t="shared" si="9"/>
        <v>12</v>
      </c>
      <c r="N103" s="380">
        <f t="shared" si="7"/>
        <v>0</v>
      </c>
      <c r="O103" s="121"/>
    </row>
    <row r="104" s="109" customFormat="1" ht="30" customHeight="1" spans="1:15">
      <c r="A104" s="374">
        <v>20399</v>
      </c>
      <c r="B104" s="199" t="s">
        <v>163</v>
      </c>
      <c r="C104" s="375" t="e">
        <f>C105</f>
        <v>#REF!</v>
      </c>
      <c r="D104" s="120">
        <v>235.93</v>
      </c>
      <c r="E104" s="120">
        <v>0</v>
      </c>
      <c r="F104" s="120">
        <v>235.93</v>
      </c>
      <c r="G104" s="120">
        <v>-49.879504</v>
      </c>
      <c r="H104" s="120">
        <v>0</v>
      </c>
      <c r="I104" s="120">
        <v>0</v>
      </c>
      <c r="J104" s="120">
        <f t="shared" si="6"/>
        <v>0</v>
      </c>
      <c r="K104" s="120">
        <v>186.050496</v>
      </c>
      <c r="L104" s="120"/>
      <c r="M104" s="120">
        <f t="shared" si="9"/>
        <v>186.050496</v>
      </c>
      <c r="N104" s="380">
        <f t="shared" si="7"/>
        <v>-21.1416538803883</v>
      </c>
      <c r="O104" s="121"/>
    </row>
    <row r="105" s="109" customFormat="1" ht="30" customHeight="1" spans="1:15">
      <c r="A105" s="374" t="s">
        <v>164</v>
      </c>
      <c r="B105" s="199" t="s">
        <v>163</v>
      </c>
      <c r="C105" s="375" t="e">
        <f>SUM(#REF!)</f>
        <v>#REF!</v>
      </c>
      <c r="D105" s="120">
        <v>235.93</v>
      </c>
      <c r="E105" s="120">
        <v>0</v>
      </c>
      <c r="F105" s="120">
        <v>235.93</v>
      </c>
      <c r="G105" s="120">
        <v>-49.879504</v>
      </c>
      <c r="H105" s="120">
        <v>0</v>
      </c>
      <c r="I105" s="120">
        <v>0</v>
      </c>
      <c r="J105" s="120">
        <f t="shared" si="6"/>
        <v>0</v>
      </c>
      <c r="K105" s="120">
        <v>186.050496</v>
      </c>
      <c r="L105" s="120"/>
      <c r="M105" s="120">
        <f t="shared" si="9"/>
        <v>186.050496</v>
      </c>
      <c r="N105" s="380">
        <f t="shared" si="7"/>
        <v>-21.1416538803883</v>
      </c>
      <c r="O105" s="121"/>
    </row>
    <row r="106" s="109" customFormat="1" ht="30" customHeight="1" spans="1:15">
      <c r="A106" s="374">
        <v>204</v>
      </c>
      <c r="B106" s="199" t="s">
        <v>165</v>
      </c>
      <c r="C106" s="375" t="e">
        <f t="shared" ref="C106:I106" si="11">C107+C110+C113+C116+C125</f>
        <v>#REF!</v>
      </c>
      <c r="D106" s="120">
        <f t="shared" si="11"/>
        <v>4554.7</v>
      </c>
      <c r="E106" s="120">
        <v>1360.9</v>
      </c>
      <c r="F106" s="120">
        <f>D106+E106</f>
        <v>5915.6</v>
      </c>
      <c r="G106" s="120">
        <f t="shared" si="11"/>
        <v>-1857.570035</v>
      </c>
      <c r="H106" s="120">
        <f t="shared" si="11"/>
        <v>-2</v>
      </c>
      <c r="I106" s="120">
        <f t="shared" si="11"/>
        <v>18.96</v>
      </c>
      <c r="J106" s="120">
        <f t="shared" si="6"/>
        <v>-223.9</v>
      </c>
      <c r="K106" s="120">
        <v>2714.089965</v>
      </c>
      <c r="L106" s="120">
        <f>L107+L110+L113+L116+L125</f>
        <v>1137</v>
      </c>
      <c r="M106" s="120">
        <f t="shared" si="9"/>
        <v>3851.089965</v>
      </c>
      <c r="N106" s="380">
        <f t="shared" si="7"/>
        <v>-34.8994190783691</v>
      </c>
      <c r="O106" s="121"/>
    </row>
    <row r="107" s="109" customFormat="1" ht="30" customHeight="1" spans="1:15">
      <c r="A107" s="374">
        <v>20402</v>
      </c>
      <c r="B107" s="199" t="s">
        <v>166</v>
      </c>
      <c r="C107" s="375" t="e">
        <f>C109</f>
        <v>#REF!</v>
      </c>
      <c r="D107" s="120">
        <v>2785.01</v>
      </c>
      <c r="E107" s="120">
        <v>1235.9</v>
      </c>
      <c r="F107" s="120">
        <v>4020.91</v>
      </c>
      <c r="G107" s="120">
        <v>-1599.267</v>
      </c>
      <c r="H107" s="120">
        <v>0</v>
      </c>
      <c r="I107" s="120">
        <v>0</v>
      </c>
      <c r="J107" s="120">
        <f t="shared" si="6"/>
        <v>-288.9</v>
      </c>
      <c r="K107" s="120">
        <v>1185.743</v>
      </c>
      <c r="L107" s="120">
        <f>L108+L109</f>
        <v>947</v>
      </c>
      <c r="M107" s="120">
        <f t="shared" si="9"/>
        <v>2132.743</v>
      </c>
      <c r="N107" s="380">
        <f t="shared" si="7"/>
        <v>-46.9586984040926</v>
      </c>
      <c r="O107" s="121"/>
    </row>
    <row r="108" s="109" customFormat="1" ht="30" customHeight="1" spans="1:15">
      <c r="A108" s="374">
        <v>2040201</v>
      </c>
      <c r="B108" s="199" t="s">
        <v>73</v>
      </c>
      <c r="C108" s="375"/>
      <c r="D108" s="120"/>
      <c r="E108" s="120"/>
      <c r="F108" s="120"/>
      <c r="G108" s="120"/>
      <c r="H108" s="120"/>
      <c r="I108" s="120"/>
      <c r="J108" s="120">
        <f t="shared" si="6"/>
        <v>255</v>
      </c>
      <c r="K108" s="120"/>
      <c r="L108" s="120">
        <v>255</v>
      </c>
      <c r="M108" s="120"/>
      <c r="N108" s="380"/>
      <c r="O108" s="121"/>
    </row>
    <row r="109" s="109" customFormat="1" ht="30" customHeight="1" spans="1:15">
      <c r="A109" s="374">
        <v>2040299</v>
      </c>
      <c r="B109" s="199" t="s">
        <v>167</v>
      </c>
      <c r="C109" s="375" t="e">
        <f>SUM(#REF!)</f>
        <v>#REF!</v>
      </c>
      <c r="D109" s="120">
        <v>2785.01</v>
      </c>
      <c r="E109" s="120">
        <v>970</v>
      </c>
      <c r="F109" s="120">
        <v>3755.01</v>
      </c>
      <c r="G109" s="120">
        <v>-1599.267</v>
      </c>
      <c r="H109" s="120">
        <v>0</v>
      </c>
      <c r="I109" s="120">
        <v>0</v>
      </c>
      <c r="J109" s="120">
        <f t="shared" si="6"/>
        <v>-278</v>
      </c>
      <c r="K109" s="120">
        <v>1185.743</v>
      </c>
      <c r="L109" s="120">
        <v>692</v>
      </c>
      <c r="M109" s="120">
        <f t="shared" ref="M109:M140" si="12">K109+L109</f>
        <v>1877.743</v>
      </c>
      <c r="N109" s="380">
        <f t="shared" si="7"/>
        <v>-49.993661801167</v>
      </c>
      <c r="O109" s="121"/>
    </row>
    <row r="110" s="109" customFormat="1" ht="30" customHeight="1" spans="1:15">
      <c r="A110" s="374">
        <v>20404</v>
      </c>
      <c r="B110" s="199" t="s">
        <v>168</v>
      </c>
      <c r="C110" s="375" t="e">
        <f>C111+C112</f>
        <v>#REF!</v>
      </c>
      <c r="D110" s="120">
        <v>207.29</v>
      </c>
      <c r="E110" s="120">
        <v>0</v>
      </c>
      <c r="F110" s="120">
        <v>207.29</v>
      </c>
      <c r="G110" s="120">
        <v>0</v>
      </c>
      <c r="H110" s="120">
        <v>0</v>
      </c>
      <c r="I110" s="120">
        <v>18.96</v>
      </c>
      <c r="J110" s="120">
        <f t="shared" si="6"/>
        <v>0</v>
      </c>
      <c r="K110" s="120">
        <v>226.25</v>
      </c>
      <c r="L110" s="120"/>
      <c r="M110" s="120">
        <f t="shared" si="12"/>
        <v>226.25</v>
      </c>
      <c r="N110" s="380">
        <f t="shared" si="7"/>
        <v>9.14660620386898</v>
      </c>
      <c r="O110" s="121"/>
    </row>
    <row r="111" s="109" customFormat="1" ht="30" customHeight="1" spans="1:15">
      <c r="A111" s="374">
        <v>2040401</v>
      </c>
      <c r="B111" s="199" t="s">
        <v>73</v>
      </c>
      <c r="C111" s="375" t="e">
        <f>#REF!</f>
        <v>#REF!</v>
      </c>
      <c r="D111" s="120">
        <v>168.41</v>
      </c>
      <c r="E111" s="120">
        <v>0</v>
      </c>
      <c r="F111" s="120">
        <v>168.41</v>
      </c>
      <c r="G111" s="120">
        <v>0</v>
      </c>
      <c r="H111" s="120">
        <v>0</v>
      </c>
      <c r="I111" s="120">
        <v>0</v>
      </c>
      <c r="J111" s="120">
        <f t="shared" si="6"/>
        <v>0</v>
      </c>
      <c r="K111" s="120">
        <v>168.41</v>
      </c>
      <c r="L111" s="120"/>
      <c r="M111" s="120">
        <f t="shared" si="12"/>
        <v>168.41</v>
      </c>
      <c r="N111" s="380">
        <f t="shared" si="7"/>
        <v>0</v>
      </c>
      <c r="O111" s="121"/>
    </row>
    <row r="112" s="109" customFormat="1" ht="30" customHeight="1" spans="1:15">
      <c r="A112" s="374">
        <v>2040499</v>
      </c>
      <c r="B112" s="199" t="s">
        <v>169</v>
      </c>
      <c r="C112" s="375" t="e">
        <f>#REF!+#REF!</f>
        <v>#REF!</v>
      </c>
      <c r="D112" s="120">
        <v>38.88</v>
      </c>
      <c r="E112" s="120">
        <v>0</v>
      </c>
      <c r="F112" s="120">
        <v>38.88</v>
      </c>
      <c r="G112" s="120">
        <v>0</v>
      </c>
      <c r="H112" s="120">
        <v>0</v>
      </c>
      <c r="I112" s="120">
        <v>18.96</v>
      </c>
      <c r="J112" s="120">
        <f t="shared" si="6"/>
        <v>0</v>
      </c>
      <c r="K112" s="120">
        <v>57.84</v>
      </c>
      <c r="L112" s="120"/>
      <c r="M112" s="120">
        <f t="shared" si="12"/>
        <v>57.84</v>
      </c>
      <c r="N112" s="380">
        <f t="shared" si="7"/>
        <v>48.7654320987654</v>
      </c>
      <c r="O112" s="375" t="s">
        <v>170</v>
      </c>
    </row>
    <row r="113" s="109" customFormat="1" ht="30" customHeight="1" spans="1:15">
      <c r="A113" s="374">
        <v>20405</v>
      </c>
      <c r="B113" s="199" t="s">
        <v>171</v>
      </c>
      <c r="C113" s="375" t="e">
        <f>C114+C115</f>
        <v>#REF!</v>
      </c>
      <c r="D113" s="120">
        <v>412.01</v>
      </c>
      <c r="E113" s="120">
        <v>0</v>
      </c>
      <c r="F113" s="120">
        <v>412.01</v>
      </c>
      <c r="G113" s="120">
        <v>-112.509935</v>
      </c>
      <c r="H113" s="120">
        <v>0</v>
      </c>
      <c r="I113" s="120">
        <v>0</v>
      </c>
      <c r="J113" s="120">
        <f t="shared" si="6"/>
        <v>0</v>
      </c>
      <c r="K113" s="120">
        <v>299.500065</v>
      </c>
      <c r="L113" s="120"/>
      <c r="M113" s="120">
        <f t="shared" si="12"/>
        <v>299.500065</v>
      </c>
      <c r="N113" s="380">
        <f t="shared" si="7"/>
        <v>-27.307573845295</v>
      </c>
      <c r="O113" s="121"/>
    </row>
    <row r="114" s="109" customFormat="1" ht="30" customHeight="1" spans="1:15">
      <c r="A114" s="374">
        <v>2040501</v>
      </c>
      <c r="B114" s="199" t="s">
        <v>73</v>
      </c>
      <c r="C114" s="375" t="e">
        <f>#REF!</f>
        <v>#REF!</v>
      </c>
      <c r="D114" s="120">
        <v>230.47</v>
      </c>
      <c r="E114" s="120">
        <v>0</v>
      </c>
      <c r="F114" s="120">
        <v>230.47</v>
      </c>
      <c r="G114" s="120">
        <v>0</v>
      </c>
      <c r="H114" s="120">
        <v>0</v>
      </c>
      <c r="I114" s="120">
        <v>0</v>
      </c>
      <c r="J114" s="120">
        <f t="shared" si="6"/>
        <v>0</v>
      </c>
      <c r="K114" s="120">
        <v>230.47</v>
      </c>
      <c r="L114" s="120"/>
      <c r="M114" s="120">
        <f t="shared" si="12"/>
        <v>230.47</v>
      </c>
      <c r="N114" s="380">
        <f t="shared" si="7"/>
        <v>0</v>
      </c>
      <c r="O114" s="121"/>
    </row>
    <row r="115" s="109" customFormat="1" ht="30" customHeight="1" spans="1:15">
      <c r="A115" s="374">
        <v>2040599</v>
      </c>
      <c r="B115" s="199" t="s">
        <v>172</v>
      </c>
      <c r="C115" s="375" t="e">
        <f>SUM(#REF!)</f>
        <v>#REF!</v>
      </c>
      <c r="D115" s="120">
        <v>181.54</v>
      </c>
      <c r="E115" s="120">
        <v>0</v>
      </c>
      <c r="F115" s="120">
        <v>181.54</v>
      </c>
      <c r="G115" s="120">
        <v>-112.509935</v>
      </c>
      <c r="H115" s="120">
        <v>0</v>
      </c>
      <c r="I115" s="120">
        <v>0</v>
      </c>
      <c r="J115" s="120">
        <f t="shared" si="6"/>
        <v>0</v>
      </c>
      <c r="K115" s="120">
        <v>69.030065</v>
      </c>
      <c r="L115" s="120"/>
      <c r="M115" s="120">
        <f t="shared" si="12"/>
        <v>69.030065</v>
      </c>
      <c r="N115" s="380">
        <f t="shared" si="7"/>
        <v>-61.9752864382505</v>
      </c>
      <c r="O115" s="375"/>
    </row>
    <row r="116" s="109" customFormat="1" ht="30" customHeight="1" spans="1:15">
      <c r="A116" s="374">
        <v>20406</v>
      </c>
      <c r="B116" s="199" t="s">
        <v>173</v>
      </c>
      <c r="C116" s="375" t="e">
        <f>C117+C118+C119+C120+C121+C122+C123+C124</f>
        <v>#REF!</v>
      </c>
      <c r="D116" s="120">
        <v>1064.39</v>
      </c>
      <c r="E116" s="120">
        <v>125</v>
      </c>
      <c r="F116" s="120">
        <v>1189.39</v>
      </c>
      <c r="G116" s="120">
        <v>-95.7931</v>
      </c>
      <c r="H116" s="120">
        <v>-2</v>
      </c>
      <c r="I116" s="120">
        <v>0</v>
      </c>
      <c r="J116" s="120">
        <f t="shared" si="6"/>
        <v>-15</v>
      </c>
      <c r="K116" s="120">
        <v>966.5969</v>
      </c>
      <c r="L116" s="120">
        <f>L119+L120+L122+L123+L124</f>
        <v>110</v>
      </c>
      <c r="M116" s="120">
        <f t="shared" si="12"/>
        <v>1076.5969</v>
      </c>
      <c r="N116" s="380">
        <f t="shared" si="7"/>
        <v>-9.48327293822885</v>
      </c>
      <c r="O116" s="121"/>
    </row>
    <row r="117" s="109" customFormat="1" ht="30" customHeight="1" spans="1:15">
      <c r="A117" s="374">
        <v>2040601</v>
      </c>
      <c r="B117" s="199" t="s">
        <v>73</v>
      </c>
      <c r="C117" s="375" t="e">
        <f>SUM(#REF!)</f>
        <v>#REF!</v>
      </c>
      <c r="D117" s="120">
        <v>704.75</v>
      </c>
      <c r="E117" s="120">
        <v>0</v>
      </c>
      <c r="F117" s="120">
        <v>704.75</v>
      </c>
      <c r="G117" s="120">
        <v>-21.9088</v>
      </c>
      <c r="H117" s="120">
        <v>0</v>
      </c>
      <c r="I117" s="120">
        <v>46.82</v>
      </c>
      <c r="J117" s="120">
        <f t="shared" si="6"/>
        <v>0</v>
      </c>
      <c r="K117" s="120">
        <v>729.6612</v>
      </c>
      <c r="L117" s="120"/>
      <c r="M117" s="120">
        <f t="shared" si="12"/>
        <v>729.6612</v>
      </c>
      <c r="N117" s="380">
        <f t="shared" si="7"/>
        <v>3.53475700603051</v>
      </c>
      <c r="O117" s="121" t="s">
        <v>120</v>
      </c>
    </row>
    <row r="118" s="109" customFormat="1" ht="30" customHeight="1" spans="1:15">
      <c r="A118" s="374">
        <v>2040602</v>
      </c>
      <c r="B118" s="199" t="s">
        <v>89</v>
      </c>
      <c r="C118" s="375" t="e">
        <f>SUM(#REF!)</f>
        <v>#REF!</v>
      </c>
      <c r="D118" s="120">
        <v>80.1</v>
      </c>
      <c r="E118" s="120">
        <v>0</v>
      </c>
      <c r="F118" s="120">
        <v>80.1</v>
      </c>
      <c r="G118" s="120">
        <v>-2</v>
      </c>
      <c r="H118" s="120">
        <v>0</v>
      </c>
      <c r="I118" s="120">
        <v>0</v>
      </c>
      <c r="J118" s="120">
        <f t="shared" si="6"/>
        <v>0</v>
      </c>
      <c r="K118" s="120">
        <v>78.1</v>
      </c>
      <c r="L118" s="120"/>
      <c r="M118" s="120">
        <f t="shared" si="12"/>
        <v>78.1</v>
      </c>
      <c r="N118" s="380">
        <f t="shared" si="7"/>
        <v>-2.49687890137328</v>
      </c>
      <c r="O118" s="121"/>
    </row>
    <row r="119" s="109" customFormat="1" ht="30" customHeight="1" spans="1:15">
      <c r="A119" s="374">
        <v>2040604</v>
      </c>
      <c r="B119" s="199" t="s">
        <v>174</v>
      </c>
      <c r="C119" s="375" t="e">
        <f>#REF!</f>
        <v>#REF!</v>
      </c>
      <c r="D119" s="120">
        <v>10</v>
      </c>
      <c r="E119" s="120">
        <v>31</v>
      </c>
      <c r="F119" s="120">
        <v>41</v>
      </c>
      <c r="G119" s="120">
        <v>-8</v>
      </c>
      <c r="H119" s="120">
        <v>0</v>
      </c>
      <c r="I119" s="120">
        <v>0</v>
      </c>
      <c r="J119" s="120">
        <f t="shared" si="6"/>
        <v>-26</v>
      </c>
      <c r="K119" s="120">
        <v>2</v>
      </c>
      <c r="L119" s="120">
        <v>5</v>
      </c>
      <c r="M119" s="120">
        <f t="shared" si="12"/>
        <v>7</v>
      </c>
      <c r="N119" s="380">
        <f t="shared" si="7"/>
        <v>-82.9268292682927</v>
      </c>
      <c r="O119" s="121"/>
    </row>
    <row r="120" s="109" customFormat="1" ht="30" customHeight="1" spans="1:15">
      <c r="A120" s="374">
        <v>2040605</v>
      </c>
      <c r="B120" s="199" t="s">
        <v>175</v>
      </c>
      <c r="C120" s="375" t="e">
        <f>#REF!</f>
        <v>#REF!</v>
      </c>
      <c r="D120" s="120">
        <v>15</v>
      </c>
      <c r="E120" s="120">
        <v>6</v>
      </c>
      <c r="F120" s="120">
        <v>21</v>
      </c>
      <c r="G120" s="120">
        <v>0</v>
      </c>
      <c r="H120" s="120">
        <v>0</v>
      </c>
      <c r="I120" s="120">
        <v>0</v>
      </c>
      <c r="J120" s="120">
        <f t="shared" si="6"/>
        <v>0</v>
      </c>
      <c r="K120" s="120">
        <v>15</v>
      </c>
      <c r="L120" s="120">
        <v>6</v>
      </c>
      <c r="M120" s="120">
        <f t="shared" si="12"/>
        <v>21</v>
      </c>
      <c r="N120" s="380">
        <f t="shared" si="7"/>
        <v>0</v>
      </c>
      <c r="O120" s="121"/>
    </row>
    <row r="121" s="109" customFormat="1" ht="30" customHeight="1" spans="1:15">
      <c r="A121" s="374">
        <v>2040606</v>
      </c>
      <c r="B121" s="199" t="s">
        <v>176</v>
      </c>
      <c r="C121" s="375" t="e">
        <f>#REF!</f>
        <v>#REF!</v>
      </c>
      <c r="D121" s="120">
        <v>5</v>
      </c>
      <c r="E121" s="120">
        <v>0</v>
      </c>
      <c r="F121" s="120">
        <v>5</v>
      </c>
      <c r="G121" s="120">
        <v>0</v>
      </c>
      <c r="H121" s="120">
        <v>0</v>
      </c>
      <c r="I121" s="120">
        <v>0</v>
      </c>
      <c r="J121" s="120">
        <f t="shared" si="6"/>
        <v>0</v>
      </c>
      <c r="K121" s="120">
        <v>5</v>
      </c>
      <c r="L121" s="120"/>
      <c r="M121" s="120">
        <f t="shared" si="12"/>
        <v>5</v>
      </c>
      <c r="N121" s="380">
        <f t="shared" si="7"/>
        <v>0</v>
      </c>
      <c r="O121" s="375"/>
    </row>
    <row r="122" s="109" customFormat="1" ht="30" customHeight="1" spans="1:15">
      <c r="A122" s="374">
        <v>2040607</v>
      </c>
      <c r="B122" s="199" t="s">
        <v>177</v>
      </c>
      <c r="C122" s="375" t="e">
        <f>SUM(#REF!)</f>
        <v>#REF!</v>
      </c>
      <c r="D122" s="120">
        <v>189.14</v>
      </c>
      <c r="E122" s="120">
        <v>78</v>
      </c>
      <c r="F122" s="120">
        <v>267.14</v>
      </c>
      <c r="G122" s="120">
        <v>-58.8843</v>
      </c>
      <c r="H122" s="120">
        <v>0</v>
      </c>
      <c r="I122" s="120">
        <v>-46.82</v>
      </c>
      <c r="J122" s="120">
        <f t="shared" si="6"/>
        <v>-7</v>
      </c>
      <c r="K122" s="120">
        <v>83.4357</v>
      </c>
      <c r="L122" s="120">
        <v>71</v>
      </c>
      <c r="M122" s="120">
        <f t="shared" si="12"/>
        <v>154.4357</v>
      </c>
      <c r="N122" s="380">
        <f t="shared" si="7"/>
        <v>-42.1892266227446</v>
      </c>
      <c r="O122" s="121" t="s">
        <v>120</v>
      </c>
    </row>
    <row r="123" s="109" customFormat="1" ht="30" customHeight="1" spans="1:15">
      <c r="A123" s="374">
        <v>2040610</v>
      </c>
      <c r="B123" s="199" t="s">
        <v>178</v>
      </c>
      <c r="C123" s="375" t="e">
        <f>#REF!+#REF!</f>
        <v>#REF!</v>
      </c>
      <c r="D123" s="120">
        <v>52.4</v>
      </c>
      <c r="E123" s="120">
        <v>10</v>
      </c>
      <c r="F123" s="120">
        <v>62.4</v>
      </c>
      <c r="G123" s="120">
        <v>-5</v>
      </c>
      <c r="H123" s="120">
        <v>0</v>
      </c>
      <c r="I123" s="120">
        <v>0</v>
      </c>
      <c r="J123" s="120">
        <f t="shared" si="6"/>
        <v>-1</v>
      </c>
      <c r="K123" s="120">
        <v>47.4</v>
      </c>
      <c r="L123" s="120">
        <v>9</v>
      </c>
      <c r="M123" s="120">
        <f t="shared" si="12"/>
        <v>56.4</v>
      </c>
      <c r="N123" s="380">
        <f t="shared" si="7"/>
        <v>-9.61538461538462</v>
      </c>
      <c r="O123" s="375"/>
    </row>
    <row r="124" s="109" customFormat="1" ht="30" customHeight="1" spans="1:15">
      <c r="A124" s="374">
        <v>2040699</v>
      </c>
      <c r="B124" s="199" t="s">
        <v>179</v>
      </c>
      <c r="C124" s="375" t="e">
        <f>#REF!</f>
        <v>#REF!</v>
      </c>
      <c r="D124" s="120">
        <v>8</v>
      </c>
      <c r="E124" s="120">
        <v>0</v>
      </c>
      <c r="F124" s="120">
        <v>8</v>
      </c>
      <c r="G124" s="120">
        <v>0</v>
      </c>
      <c r="H124" s="120">
        <v>-2</v>
      </c>
      <c r="I124" s="120">
        <v>0</v>
      </c>
      <c r="J124" s="120">
        <f t="shared" si="6"/>
        <v>19</v>
      </c>
      <c r="K124" s="120">
        <v>6</v>
      </c>
      <c r="L124" s="120">
        <v>19</v>
      </c>
      <c r="M124" s="120">
        <f t="shared" si="12"/>
        <v>25</v>
      </c>
      <c r="N124" s="380">
        <f t="shared" si="7"/>
        <v>212.5</v>
      </c>
      <c r="O124" s="375"/>
    </row>
    <row r="125" s="109" customFormat="1" ht="30" customHeight="1" spans="1:15">
      <c r="A125" s="374">
        <v>20499</v>
      </c>
      <c r="B125" s="199" t="s">
        <v>180</v>
      </c>
      <c r="C125" s="375" t="e">
        <f>C126</f>
        <v>#REF!</v>
      </c>
      <c r="D125" s="120">
        <v>86</v>
      </c>
      <c r="E125" s="120">
        <v>0</v>
      </c>
      <c r="F125" s="120">
        <v>86</v>
      </c>
      <c r="G125" s="120">
        <v>-50</v>
      </c>
      <c r="H125" s="120">
        <v>0</v>
      </c>
      <c r="I125" s="120">
        <v>0</v>
      </c>
      <c r="J125" s="120">
        <f t="shared" si="6"/>
        <v>80</v>
      </c>
      <c r="K125" s="120">
        <v>36</v>
      </c>
      <c r="L125" s="120">
        <v>80</v>
      </c>
      <c r="M125" s="120">
        <f t="shared" si="12"/>
        <v>116</v>
      </c>
      <c r="N125" s="380">
        <f t="shared" si="7"/>
        <v>34.8837209302326</v>
      </c>
      <c r="O125" s="121"/>
    </row>
    <row r="126" s="109" customFormat="1" ht="30" customHeight="1" spans="1:15">
      <c r="A126" s="374">
        <v>2049999</v>
      </c>
      <c r="B126" s="199" t="s">
        <v>180</v>
      </c>
      <c r="C126" s="375" t="e">
        <f>#REF!+#REF!</f>
        <v>#REF!</v>
      </c>
      <c r="D126" s="120">
        <v>86</v>
      </c>
      <c r="E126" s="120">
        <v>0</v>
      </c>
      <c r="F126" s="120">
        <v>86</v>
      </c>
      <c r="G126" s="120">
        <v>-50</v>
      </c>
      <c r="H126" s="120">
        <v>0</v>
      </c>
      <c r="I126" s="120">
        <v>0</v>
      </c>
      <c r="J126" s="120">
        <f t="shared" si="6"/>
        <v>80</v>
      </c>
      <c r="K126" s="120">
        <v>36</v>
      </c>
      <c r="L126" s="120">
        <v>80</v>
      </c>
      <c r="M126" s="120">
        <f t="shared" si="12"/>
        <v>116</v>
      </c>
      <c r="N126" s="380">
        <f t="shared" si="7"/>
        <v>34.8837209302326</v>
      </c>
      <c r="O126" s="375"/>
    </row>
    <row r="127" s="109" customFormat="1" ht="30" customHeight="1" spans="1:15">
      <c r="A127" s="374">
        <v>205</v>
      </c>
      <c r="B127" s="199" t="s">
        <v>181</v>
      </c>
      <c r="C127" s="375" t="e">
        <f t="shared" ref="C127:I127" si="13">C128+C131+C138+C142+C145+C148+C150</f>
        <v>#REF!</v>
      </c>
      <c r="D127" s="120">
        <v>70266</v>
      </c>
      <c r="E127" s="120">
        <v>16331.1628</v>
      </c>
      <c r="F127" s="120">
        <f>D127+E127</f>
        <v>86597.1628</v>
      </c>
      <c r="G127" s="120">
        <f t="shared" si="13"/>
        <v>-13601.36426</v>
      </c>
      <c r="H127" s="120">
        <f t="shared" si="13"/>
        <v>-68.15</v>
      </c>
      <c r="I127" s="120">
        <f t="shared" si="13"/>
        <v>1103.864139</v>
      </c>
      <c r="J127" s="120">
        <f t="shared" si="6"/>
        <v>-8011.1628</v>
      </c>
      <c r="K127" s="120">
        <v>57701.509879</v>
      </c>
      <c r="L127" s="120">
        <f>L128+L131+L138+L142+L145+L150</f>
        <v>8320</v>
      </c>
      <c r="M127" s="120">
        <f t="shared" si="12"/>
        <v>66021.509879</v>
      </c>
      <c r="N127" s="380">
        <f t="shared" si="7"/>
        <v>-23.7601928928323</v>
      </c>
      <c r="O127" s="121"/>
    </row>
    <row r="128" s="109" customFormat="1" ht="30" customHeight="1" spans="1:15">
      <c r="A128" s="374">
        <v>20501</v>
      </c>
      <c r="B128" s="199" t="s">
        <v>182</v>
      </c>
      <c r="C128" s="375" t="e">
        <f>C129+C130</f>
        <v>#REF!</v>
      </c>
      <c r="D128" s="120">
        <v>942.51</v>
      </c>
      <c r="E128" s="120">
        <v>0</v>
      </c>
      <c r="F128" s="120">
        <v>942.51</v>
      </c>
      <c r="G128" s="120">
        <v>-16.5546</v>
      </c>
      <c r="H128" s="120">
        <v>0</v>
      </c>
      <c r="I128" s="120">
        <v>74.285</v>
      </c>
      <c r="J128" s="120">
        <f t="shared" si="6"/>
        <v>0</v>
      </c>
      <c r="K128" s="120">
        <v>1000.2404</v>
      </c>
      <c r="L128" s="120"/>
      <c r="M128" s="120">
        <f t="shared" si="12"/>
        <v>1000.2404</v>
      </c>
      <c r="N128" s="380">
        <f t="shared" si="7"/>
        <v>6.12517639070143</v>
      </c>
      <c r="O128" s="121"/>
    </row>
    <row r="129" s="109" customFormat="1" ht="30" customHeight="1" spans="1:15">
      <c r="A129" s="374">
        <v>2050101</v>
      </c>
      <c r="B129" s="199" t="s">
        <v>73</v>
      </c>
      <c r="C129" s="375" t="e">
        <f>SUM(#REF!)</f>
        <v>#REF!</v>
      </c>
      <c r="D129" s="120">
        <v>928.51</v>
      </c>
      <c r="E129" s="120">
        <v>0</v>
      </c>
      <c r="F129" s="120">
        <v>928.51</v>
      </c>
      <c r="G129" s="120">
        <v>-2.5546</v>
      </c>
      <c r="H129" s="120">
        <v>0</v>
      </c>
      <c r="I129" s="120">
        <v>74.285</v>
      </c>
      <c r="J129" s="120">
        <f t="shared" si="6"/>
        <v>0</v>
      </c>
      <c r="K129" s="120">
        <v>1000.2404</v>
      </c>
      <c r="L129" s="120"/>
      <c r="M129" s="120">
        <f t="shared" si="12"/>
        <v>1000.2404</v>
      </c>
      <c r="N129" s="380">
        <f t="shared" si="7"/>
        <v>7.72532336754586</v>
      </c>
      <c r="O129" s="121" t="s">
        <v>101</v>
      </c>
    </row>
    <row r="130" s="109" customFormat="1" ht="30" customHeight="1" spans="1:15">
      <c r="A130" s="374">
        <v>2050199</v>
      </c>
      <c r="B130" s="199" t="s">
        <v>183</v>
      </c>
      <c r="C130" s="375" t="e">
        <f>SUM(#REF!)</f>
        <v>#REF!</v>
      </c>
      <c r="D130" s="120">
        <v>14</v>
      </c>
      <c r="E130" s="120">
        <v>0</v>
      </c>
      <c r="F130" s="120">
        <v>14</v>
      </c>
      <c r="G130" s="120">
        <v>-14</v>
      </c>
      <c r="H130" s="120">
        <v>0</v>
      </c>
      <c r="I130" s="120">
        <v>0</v>
      </c>
      <c r="J130" s="120">
        <f t="shared" si="6"/>
        <v>0</v>
      </c>
      <c r="K130" s="120">
        <v>0</v>
      </c>
      <c r="L130" s="120"/>
      <c r="M130" s="120">
        <f t="shared" si="12"/>
        <v>0</v>
      </c>
      <c r="N130" s="380">
        <f t="shared" si="7"/>
        <v>-100</v>
      </c>
      <c r="O130" s="375" t="s">
        <v>184</v>
      </c>
    </row>
    <row r="131" s="109" customFormat="1" ht="30" customHeight="1" spans="1:15">
      <c r="A131" s="374">
        <v>20502</v>
      </c>
      <c r="B131" s="199" t="s">
        <v>185</v>
      </c>
      <c r="C131" s="375" t="e">
        <f>C132+C133+C134+C135+C136+C137</f>
        <v>#REF!</v>
      </c>
      <c r="D131" s="120">
        <v>65167.59</v>
      </c>
      <c r="E131" s="120">
        <v>6563.905</v>
      </c>
      <c r="F131" s="120">
        <v>71731.495</v>
      </c>
      <c r="G131" s="120">
        <v>-10770.181949</v>
      </c>
      <c r="H131" s="120">
        <v>-68.15</v>
      </c>
      <c r="I131" s="120">
        <v>1020.319139</v>
      </c>
      <c r="J131" s="120">
        <f t="shared" si="6"/>
        <v>-639.905</v>
      </c>
      <c r="K131" s="120">
        <v>55349.57719</v>
      </c>
      <c r="L131" s="120">
        <f>L132+L133+L134+L135+L137</f>
        <v>5924</v>
      </c>
      <c r="M131" s="120">
        <f t="shared" si="12"/>
        <v>61273.57719</v>
      </c>
      <c r="N131" s="380">
        <f t="shared" si="7"/>
        <v>-14.579255332682</v>
      </c>
      <c r="O131" s="121"/>
    </row>
    <row r="132" s="109" customFormat="1" ht="30" customHeight="1" spans="1:15">
      <c r="A132" s="374">
        <v>2050201</v>
      </c>
      <c r="B132" s="199" t="s">
        <v>186</v>
      </c>
      <c r="C132" s="375" t="e">
        <f>SUM(#REF!)</f>
        <v>#REF!</v>
      </c>
      <c r="D132" s="120">
        <v>1822.19</v>
      </c>
      <c r="E132" s="120">
        <v>397.7</v>
      </c>
      <c r="F132" s="120">
        <v>2219.89</v>
      </c>
      <c r="G132" s="120">
        <v>-56.12</v>
      </c>
      <c r="H132" s="120">
        <v>-29.21</v>
      </c>
      <c r="I132" s="120">
        <v>29.6</v>
      </c>
      <c r="J132" s="120">
        <f t="shared" si="6"/>
        <v>-87.7</v>
      </c>
      <c r="K132" s="120">
        <v>1766.46</v>
      </c>
      <c r="L132" s="120">
        <v>310</v>
      </c>
      <c r="M132" s="120">
        <f t="shared" si="12"/>
        <v>2076.46</v>
      </c>
      <c r="N132" s="380">
        <f t="shared" si="7"/>
        <v>-6.4611309569393</v>
      </c>
      <c r="O132" s="121" t="s">
        <v>187</v>
      </c>
    </row>
    <row r="133" s="109" customFormat="1" ht="30" customHeight="1" spans="1:15">
      <c r="A133" s="374">
        <v>2050202</v>
      </c>
      <c r="B133" s="199" t="s">
        <v>188</v>
      </c>
      <c r="C133" s="375" t="e">
        <f>SUM(#REF!)</f>
        <v>#REF!</v>
      </c>
      <c r="D133" s="120">
        <v>29607.42</v>
      </c>
      <c r="E133" s="120">
        <v>2223.0828</v>
      </c>
      <c r="F133" s="120">
        <v>31830.5028</v>
      </c>
      <c r="G133" s="120">
        <v>-2848.021149</v>
      </c>
      <c r="H133" s="120">
        <v>0</v>
      </c>
      <c r="I133" s="120">
        <v>566.8885</v>
      </c>
      <c r="J133" s="120">
        <f t="shared" si="6"/>
        <v>78.9171999999999</v>
      </c>
      <c r="K133" s="120">
        <v>27326.287351</v>
      </c>
      <c r="L133" s="120">
        <v>2302</v>
      </c>
      <c r="M133" s="120">
        <f t="shared" si="12"/>
        <v>29628.287351</v>
      </c>
      <c r="N133" s="380">
        <f t="shared" si="7"/>
        <v>-6.91856947041377</v>
      </c>
      <c r="O133" s="375" t="s">
        <v>189</v>
      </c>
    </row>
    <row r="134" s="109" customFormat="1" ht="30" customHeight="1" spans="1:15">
      <c r="A134" s="374">
        <v>2050203</v>
      </c>
      <c r="B134" s="199" t="s">
        <v>190</v>
      </c>
      <c r="C134" s="375" t="e">
        <f>SUM(#REF!)</f>
        <v>#REF!</v>
      </c>
      <c r="D134" s="120">
        <v>11738.27</v>
      </c>
      <c r="E134" s="120">
        <v>1637.2872</v>
      </c>
      <c r="F134" s="120">
        <v>13375.5572</v>
      </c>
      <c r="G134" s="120">
        <v>-460.04</v>
      </c>
      <c r="H134" s="120">
        <v>0</v>
      </c>
      <c r="I134" s="120">
        <v>143.9079</v>
      </c>
      <c r="J134" s="120">
        <f t="shared" ref="J134:J197" si="14">L134-E134</f>
        <v>91.7128</v>
      </c>
      <c r="K134" s="120">
        <v>11422.1379</v>
      </c>
      <c r="L134" s="120">
        <v>1729</v>
      </c>
      <c r="M134" s="120">
        <f t="shared" si="12"/>
        <v>13151.1379</v>
      </c>
      <c r="N134" s="380">
        <f t="shared" ref="N134:N197" si="15">(M134-F134)/F134*100</f>
        <v>-1.67783141026827</v>
      </c>
      <c r="O134" s="121" t="s">
        <v>191</v>
      </c>
    </row>
    <row r="135" s="109" customFormat="1" ht="30" customHeight="1" spans="1:15">
      <c r="A135" s="374">
        <v>2050204</v>
      </c>
      <c r="B135" s="199" t="s">
        <v>192</v>
      </c>
      <c r="C135" s="375" t="e">
        <f>SUM(#REF!)</f>
        <v>#REF!</v>
      </c>
      <c r="D135" s="120">
        <v>12423.22</v>
      </c>
      <c r="E135" s="120">
        <v>852.635</v>
      </c>
      <c r="F135" s="120">
        <v>13275.855</v>
      </c>
      <c r="G135" s="120">
        <v>-536.0108</v>
      </c>
      <c r="H135" s="120">
        <v>0</v>
      </c>
      <c r="I135" s="120">
        <v>131.1263</v>
      </c>
      <c r="J135" s="120">
        <f t="shared" si="14"/>
        <v>-483.635</v>
      </c>
      <c r="K135" s="120">
        <v>12018.3355</v>
      </c>
      <c r="L135" s="120">
        <v>369</v>
      </c>
      <c r="M135" s="120">
        <f t="shared" si="12"/>
        <v>12387.3355</v>
      </c>
      <c r="N135" s="380">
        <f t="shared" si="15"/>
        <v>-6.69274784938522</v>
      </c>
      <c r="O135" s="121" t="s">
        <v>193</v>
      </c>
    </row>
    <row r="136" s="109" customFormat="1" ht="30" customHeight="1" spans="1:15">
      <c r="A136" s="374">
        <v>2050206</v>
      </c>
      <c r="B136" s="199" t="s">
        <v>194</v>
      </c>
      <c r="C136" s="375" t="e">
        <f>SUM(#REF!)</f>
        <v>#REF!</v>
      </c>
      <c r="D136" s="120">
        <v>7</v>
      </c>
      <c r="E136" s="120">
        <v>0</v>
      </c>
      <c r="F136" s="120">
        <v>7</v>
      </c>
      <c r="G136" s="120">
        <v>-7</v>
      </c>
      <c r="H136" s="120">
        <v>0</v>
      </c>
      <c r="I136" s="120">
        <v>0</v>
      </c>
      <c r="J136" s="120">
        <f t="shared" si="14"/>
        <v>0</v>
      </c>
      <c r="K136" s="120">
        <v>0</v>
      </c>
      <c r="L136" s="120"/>
      <c r="M136" s="120">
        <f t="shared" si="12"/>
        <v>0</v>
      </c>
      <c r="N136" s="380">
        <f t="shared" si="15"/>
        <v>-100</v>
      </c>
      <c r="O136" s="121" t="s">
        <v>195</v>
      </c>
    </row>
    <row r="137" s="109" customFormat="1" ht="30" customHeight="1" spans="1:15">
      <c r="A137" s="374">
        <v>2050299</v>
      </c>
      <c r="B137" s="199" t="s">
        <v>196</v>
      </c>
      <c r="C137" s="375" t="e">
        <f>SUM(#REF!)</f>
        <v>#REF!</v>
      </c>
      <c r="D137" s="120">
        <v>9569.49</v>
      </c>
      <c r="E137" s="120">
        <v>1453.2</v>
      </c>
      <c r="F137" s="120">
        <v>11022.69</v>
      </c>
      <c r="G137" s="120">
        <v>-6862.99</v>
      </c>
      <c r="H137" s="120">
        <v>-38.94</v>
      </c>
      <c r="I137" s="120">
        <v>148.796439</v>
      </c>
      <c r="J137" s="120">
        <f t="shared" si="14"/>
        <v>-239.2</v>
      </c>
      <c r="K137" s="120">
        <v>2816.356439</v>
      </c>
      <c r="L137" s="120">
        <v>1214</v>
      </c>
      <c r="M137" s="120">
        <f t="shared" si="12"/>
        <v>4030.356439</v>
      </c>
      <c r="N137" s="380">
        <f t="shared" si="15"/>
        <v>-63.4358179446215</v>
      </c>
      <c r="O137" s="121" t="s">
        <v>197</v>
      </c>
    </row>
    <row r="138" s="109" customFormat="1" ht="30" customHeight="1" spans="1:15">
      <c r="A138" s="374">
        <v>20503</v>
      </c>
      <c r="B138" s="199" t="s">
        <v>198</v>
      </c>
      <c r="C138" s="375" t="e">
        <f>C139+C140</f>
        <v>#REF!</v>
      </c>
      <c r="D138" s="120">
        <v>1947.36</v>
      </c>
      <c r="E138" s="120">
        <v>9600.7778</v>
      </c>
      <c r="F138" s="120">
        <v>11548.1378</v>
      </c>
      <c r="G138" s="120">
        <v>-919.077711</v>
      </c>
      <c r="H138" s="120">
        <v>0</v>
      </c>
      <c r="I138" s="120">
        <v>7.7</v>
      </c>
      <c r="J138" s="120">
        <f t="shared" si="14"/>
        <v>-7325.7778</v>
      </c>
      <c r="K138" s="120">
        <v>1035.982289</v>
      </c>
      <c r="L138" s="120">
        <f>L139+L140+L141</f>
        <v>2275</v>
      </c>
      <c r="M138" s="120">
        <f t="shared" si="12"/>
        <v>3310.982289</v>
      </c>
      <c r="N138" s="380">
        <f t="shared" si="15"/>
        <v>-71.3288640442098</v>
      </c>
      <c r="O138" s="121"/>
    </row>
    <row r="139" s="109" customFormat="1" ht="30" customHeight="1" spans="1:15">
      <c r="A139" s="374">
        <v>2050302</v>
      </c>
      <c r="B139" s="199" t="s">
        <v>199</v>
      </c>
      <c r="C139" s="375" t="e">
        <f>SUM(#REF!)</f>
        <v>#REF!</v>
      </c>
      <c r="D139" s="120">
        <v>1947.3</v>
      </c>
      <c r="E139" s="120">
        <v>399.5178</v>
      </c>
      <c r="F139" s="120">
        <v>2346.8178</v>
      </c>
      <c r="G139" s="120">
        <v>-919.077711</v>
      </c>
      <c r="H139" s="120">
        <v>0</v>
      </c>
      <c r="I139" s="120">
        <v>7.7</v>
      </c>
      <c r="J139" s="120">
        <f t="shared" si="14"/>
        <v>-363.5178</v>
      </c>
      <c r="K139" s="120">
        <v>1035.922289</v>
      </c>
      <c r="L139" s="120">
        <v>36</v>
      </c>
      <c r="M139" s="120">
        <f t="shared" si="12"/>
        <v>1071.922289</v>
      </c>
      <c r="N139" s="380">
        <f t="shared" si="15"/>
        <v>-54.3244350285736</v>
      </c>
      <c r="O139" s="121" t="s">
        <v>200</v>
      </c>
    </row>
    <row r="140" s="109" customFormat="1" ht="30" customHeight="1" spans="1:15">
      <c r="A140" s="374">
        <v>2050303</v>
      </c>
      <c r="B140" s="199" t="s">
        <v>201</v>
      </c>
      <c r="C140" s="375" t="e">
        <f>#REF!</f>
        <v>#REF!</v>
      </c>
      <c r="D140" s="120">
        <v>0.06</v>
      </c>
      <c r="E140" s="120">
        <v>1.26</v>
      </c>
      <c r="F140" s="120">
        <v>1.32</v>
      </c>
      <c r="G140" s="120">
        <v>0</v>
      </c>
      <c r="H140" s="120">
        <v>0</v>
      </c>
      <c r="I140" s="120">
        <v>0</v>
      </c>
      <c r="J140" s="120">
        <f t="shared" si="14"/>
        <v>-0.26</v>
      </c>
      <c r="K140" s="120">
        <v>0.06</v>
      </c>
      <c r="L140" s="120">
        <v>1</v>
      </c>
      <c r="M140" s="120">
        <f t="shared" si="12"/>
        <v>1.06</v>
      </c>
      <c r="N140" s="380">
        <f t="shared" si="15"/>
        <v>-19.6969696969697</v>
      </c>
      <c r="O140" s="121"/>
    </row>
    <row r="141" s="109" customFormat="1" ht="30" customHeight="1" spans="1:15">
      <c r="A141" s="374">
        <v>2050305</v>
      </c>
      <c r="B141" s="199" t="s">
        <v>202</v>
      </c>
      <c r="C141" s="375"/>
      <c r="D141" s="120"/>
      <c r="E141" s="120"/>
      <c r="F141" s="120"/>
      <c r="G141" s="120"/>
      <c r="H141" s="120"/>
      <c r="I141" s="120"/>
      <c r="J141" s="120">
        <f t="shared" si="14"/>
        <v>2238</v>
      </c>
      <c r="K141" s="120"/>
      <c r="L141" s="120">
        <v>2238</v>
      </c>
      <c r="M141" s="120"/>
      <c r="N141" s="380"/>
      <c r="O141" s="121"/>
    </row>
    <row r="142" s="109" customFormat="1" ht="30" customHeight="1" spans="1:15">
      <c r="A142" s="374">
        <v>20507</v>
      </c>
      <c r="B142" s="199" t="s">
        <v>203</v>
      </c>
      <c r="C142" s="375" t="e">
        <f>C143+C144</f>
        <v>#REF!</v>
      </c>
      <c r="D142" s="120">
        <v>65.29</v>
      </c>
      <c r="E142" s="120">
        <v>118.99</v>
      </c>
      <c r="F142" s="120">
        <v>184.28</v>
      </c>
      <c r="G142" s="120">
        <v>-33.85</v>
      </c>
      <c r="H142" s="120">
        <v>0</v>
      </c>
      <c r="I142" s="120">
        <v>1.56</v>
      </c>
      <c r="J142" s="120">
        <f t="shared" si="14"/>
        <v>-15.99</v>
      </c>
      <c r="K142" s="120">
        <v>33</v>
      </c>
      <c r="L142" s="120">
        <v>103</v>
      </c>
      <c r="M142" s="120">
        <f t="shared" ref="M142:M145" si="16">K142+L142</f>
        <v>136</v>
      </c>
      <c r="N142" s="380">
        <f t="shared" si="15"/>
        <v>-26.1992619926199</v>
      </c>
      <c r="O142" s="121"/>
    </row>
    <row r="143" s="109" customFormat="1" ht="30" customHeight="1" spans="1:15">
      <c r="A143" s="374">
        <v>2050701</v>
      </c>
      <c r="B143" s="199" t="s">
        <v>204</v>
      </c>
      <c r="C143" s="375" t="e">
        <f>#REF!</f>
        <v>#REF!</v>
      </c>
      <c r="D143" s="120">
        <v>0.72</v>
      </c>
      <c r="E143" s="120">
        <v>118.99</v>
      </c>
      <c r="F143" s="120">
        <v>119.71</v>
      </c>
      <c r="G143" s="120">
        <v>0</v>
      </c>
      <c r="H143" s="120">
        <v>0</v>
      </c>
      <c r="I143" s="120">
        <v>1.56</v>
      </c>
      <c r="J143" s="120">
        <f t="shared" si="14"/>
        <v>-15.99</v>
      </c>
      <c r="K143" s="120">
        <v>2.28</v>
      </c>
      <c r="L143" s="120">
        <v>103</v>
      </c>
      <c r="M143" s="120">
        <f t="shared" si="16"/>
        <v>105.28</v>
      </c>
      <c r="N143" s="380">
        <f t="shared" si="15"/>
        <v>-12.054130816139</v>
      </c>
      <c r="O143" s="375" t="s">
        <v>205</v>
      </c>
    </row>
    <row r="144" s="109" customFormat="1" ht="30" customHeight="1" spans="1:15">
      <c r="A144" s="374">
        <v>2050799</v>
      </c>
      <c r="B144" s="199" t="s">
        <v>206</v>
      </c>
      <c r="C144" s="375" t="e">
        <f>SUM(#REF!)</f>
        <v>#REF!</v>
      </c>
      <c r="D144" s="120">
        <v>64.57</v>
      </c>
      <c r="E144" s="120">
        <v>0</v>
      </c>
      <c r="F144" s="120">
        <v>64.57</v>
      </c>
      <c r="G144" s="120">
        <v>-33.85</v>
      </c>
      <c r="H144" s="120">
        <v>0</v>
      </c>
      <c r="I144" s="120">
        <v>0</v>
      </c>
      <c r="J144" s="120">
        <f t="shared" si="14"/>
        <v>0</v>
      </c>
      <c r="K144" s="120">
        <v>30.72</v>
      </c>
      <c r="L144" s="120"/>
      <c r="M144" s="120">
        <f t="shared" si="16"/>
        <v>30.72</v>
      </c>
      <c r="N144" s="380">
        <f t="shared" si="15"/>
        <v>-52.4237261886325</v>
      </c>
      <c r="O144" s="121"/>
    </row>
    <row r="145" s="109" customFormat="1" ht="30" customHeight="1" spans="1:15">
      <c r="A145" s="374">
        <v>20508</v>
      </c>
      <c r="B145" s="199" t="s">
        <v>207</v>
      </c>
      <c r="C145" s="375" t="e">
        <f>+C147</f>
        <v>#REF!</v>
      </c>
      <c r="D145" s="120">
        <v>1</v>
      </c>
      <c r="E145" s="120">
        <v>30</v>
      </c>
      <c r="F145" s="120">
        <v>31</v>
      </c>
      <c r="G145" s="120">
        <v>0</v>
      </c>
      <c r="H145" s="120">
        <v>0</v>
      </c>
      <c r="I145" s="120">
        <v>0</v>
      </c>
      <c r="J145" s="120">
        <f t="shared" si="14"/>
        <v>-21</v>
      </c>
      <c r="K145" s="120">
        <v>1</v>
      </c>
      <c r="L145" s="120">
        <v>9</v>
      </c>
      <c r="M145" s="120">
        <f t="shared" si="16"/>
        <v>10</v>
      </c>
      <c r="N145" s="380">
        <f t="shared" si="15"/>
        <v>-67.741935483871</v>
      </c>
      <c r="O145" s="375"/>
    </row>
    <row r="146" s="109" customFormat="1" ht="30" customHeight="1" spans="1:15">
      <c r="A146" s="374">
        <v>2050801</v>
      </c>
      <c r="B146" s="199" t="s">
        <v>208</v>
      </c>
      <c r="C146" s="375"/>
      <c r="D146" s="120"/>
      <c r="E146" s="120"/>
      <c r="F146" s="120"/>
      <c r="G146" s="120"/>
      <c r="H146" s="120"/>
      <c r="I146" s="120"/>
      <c r="J146" s="120">
        <f t="shared" si="14"/>
        <v>9</v>
      </c>
      <c r="K146" s="120"/>
      <c r="L146" s="120">
        <v>9</v>
      </c>
      <c r="M146" s="120"/>
      <c r="N146" s="380"/>
      <c r="O146" s="375"/>
    </row>
    <row r="147" s="109" customFormat="1" ht="30" customHeight="1" spans="1:15">
      <c r="A147" s="374">
        <v>2050803</v>
      </c>
      <c r="B147" s="199" t="s">
        <v>209</v>
      </c>
      <c r="C147" s="375" t="e">
        <f>#REF!</f>
        <v>#REF!</v>
      </c>
      <c r="D147" s="120">
        <v>1</v>
      </c>
      <c r="E147" s="120">
        <v>0</v>
      </c>
      <c r="F147" s="120">
        <v>1</v>
      </c>
      <c r="G147" s="120">
        <v>0</v>
      </c>
      <c r="H147" s="120">
        <v>0</v>
      </c>
      <c r="I147" s="120">
        <v>0</v>
      </c>
      <c r="J147" s="120">
        <f t="shared" si="14"/>
        <v>0</v>
      </c>
      <c r="K147" s="120">
        <v>1</v>
      </c>
      <c r="L147" s="120"/>
      <c r="M147" s="120">
        <f t="shared" ref="M147:M195" si="17">K147+L147</f>
        <v>1</v>
      </c>
      <c r="N147" s="380">
        <f t="shared" si="15"/>
        <v>0</v>
      </c>
      <c r="O147" s="375"/>
    </row>
    <row r="148" s="109" customFormat="1" ht="30" customHeight="1" spans="1:15">
      <c r="A148" s="374">
        <v>20509</v>
      </c>
      <c r="B148" s="199" t="s">
        <v>210</v>
      </c>
      <c r="C148" s="375" t="e">
        <f t="shared" ref="C148:C153" si="18">C149</f>
        <v>#REF!</v>
      </c>
      <c r="D148" s="120">
        <v>2131.83</v>
      </c>
      <c r="E148" s="120">
        <v>0</v>
      </c>
      <c r="F148" s="120">
        <v>2131.83</v>
      </c>
      <c r="G148" s="120">
        <v>-1850.12</v>
      </c>
      <c r="H148" s="120">
        <v>0</v>
      </c>
      <c r="I148" s="120">
        <v>0</v>
      </c>
      <c r="J148" s="120">
        <f t="shared" si="14"/>
        <v>0</v>
      </c>
      <c r="K148" s="120">
        <v>281.71</v>
      </c>
      <c r="L148" s="120"/>
      <c r="M148" s="120">
        <f t="shared" si="17"/>
        <v>281.71</v>
      </c>
      <c r="N148" s="380">
        <f t="shared" si="15"/>
        <v>-86.7855316793553</v>
      </c>
      <c r="O148" s="121"/>
    </row>
    <row r="149" s="109" customFormat="1" ht="30" customHeight="1" spans="1:15">
      <c r="A149" s="374">
        <v>2050999</v>
      </c>
      <c r="B149" s="199" t="s">
        <v>211</v>
      </c>
      <c r="C149" s="375" t="e">
        <f>SUM(#REF!)</f>
        <v>#REF!</v>
      </c>
      <c r="D149" s="120">
        <v>2131.83</v>
      </c>
      <c r="E149" s="120">
        <v>0</v>
      </c>
      <c r="F149" s="120">
        <v>2131.83</v>
      </c>
      <c r="G149" s="120">
        <v>-1850.12</v>
      </c>
      <c r="H149" s="120">
        <v>0</v>
      </c>
      <c r="I149" s="120">
        <v>0</v>
      </c>
      <c r="J149" s="120">
        <f t="shared" si="14"/>
        <v>0</v>
      </c>
      <c r="K149" s="120">
        <v>281.71</v>
      </c>
      <c r="L149" s="120"/>
      <c r="M149" s="120">
        <f t="shared" si="17"/>
        <v>281.71</v>
      </c>
      <c r="N149" s="380">
        <f t="shared" si="15"/>
        <v>-86.7855316793553</v>
      </c>
      <c r="O149" s="121" t="s">
        <v>212</v>
      </c>
    </row>
    <row r="150" s="109" customFormat="1" ht="30" customHeight="1" spans="1:15">
      <c r="A150" s="374">
        <v>20599</v>
      </c>
      <c r="B150" s="199" t="s">
        <v>213</v>
      </c>
      <c r="C150" s="375" t="e">
        <f t="shared" si="18"/>
        <v>#REF!</v>
      </c>
      <c r="D150" s="120">
        <v>11.58</v>
      </c>
      <c r="E150" s="120">
        <v>17.49</v>
      </c>
      <c r="F150" s="120">
        <v>29.07</v>
      </c>
      <c r="G150" s="120">
        <v>-11.58</v>
      </c>
      <c r="H150" s="120">
        <v>0</v>
      </c>
      <c r="I150" s="120">
        <v>0</v>
      </c>
      <c r="J150" s="120">
        <f t="shared" si="14"/>
        <v>-8.49</v>
      </c>
      <c r="K150" s="120">
        <v>0</v>
      </c>
      <c r="L150" s="120">
        <f>L151</f>
        <v>9</v>
      </c>
      <c r="M150" s="120">
        <f t="shared" si="17"/>
        <v>9</v>
      </c>
      <c r="N150" s="380">
        <f t="shared" si="15"/>
        <v>-69.0402476780186</v>
      </c>
      <c r="O150" s="121"/>
    </row>
    <row r="151" s="109" customFormat="1" ht="30" customHeight="1" spans="1:15">
      <c r="A151" s="374">
        <v>2059999</v>
      </c>
      <c r="B151" s="199" t="s">
        <v>213</v>
      </c>
      <c r="C151" s="375" t="e">
        <f>#REF!</f>
        <v>#REF!</v>
      </c>
      <c r="D151" s="120">
        <v>11.58</v>
      </c>
      <c r="E151" s="120">
        <v>17.49</v>
      </c>
      <c r="F151" s="120">
        <v>29.07</v>
      </c>
      <c r="G151" s="120">
        <v>-11.58</v>
      </c>
      <c r="H151" s="120">
        <v>0</v>
      </c>
      <c r="I151" s="120">
        <v>0</v>
      </c>
      <c r="J151" s="120">
        <f t="shared" si="14"/>
        <v>-8.49</v>
      </c>
      <c r="K151" s="120">
        <v>0</v>
      </c>
      <c r="L151" s="120">
        <v>9</v>
      </c>
      <c r="M151" s="120">
        <f t="shared" si="17"/>
        <v>9</v>
      </c>
      <c r="N151" s="380">
        <f t="shared" si="15"/>
        <v>-69.0402476780186</v>
      </c>
      <c r="O151" s="375"/>
    </row>
    <row r="152" s="109" customFormat="1" ht="30" customHeight="1" spans="1:15">
      <c r="A152" s="374">
        <v>206</v>
      </c>
      <c r="B152" s="199" t="s">
        <v>214</v>
      </c>
      <c r="C152" s="375" t="e">
        <f t="shared" ref="C152:G152" si="19">+C157+C159+C155+C153</f>
        <v>#REF!</v>
      </c>
      <c r="D152" s="120">
        <f t="shared" si="19"/>
        <v>320.3</v>
      </c>
      <c r="E152" s="120">
        <v>1211.19</v>
      </c>
      <c r="F152" s="120">
        <f>D152+E152</f>
        <v>1531.49</v>
      </c>
      <c r="G152" s="120">
        <f t="shared" si="19"/>
        <v>-268.8</v>
      </c>
      <c r="H152" s="120">
        <f>+H157+H159+H155</f>
        <v>0</v>
      </c>
      <c r="I152" s="120">
        <f>+I157+I159+I155+I153</f>
        <v>44.98</v>
      </c>
      <c r="J152" s="120">
        <f t="shared" si="14"/>
        <v>-0.190000000000055</v>
      </c>
      <c r="K152" s="120">
        <v>96.48</v>
      </c>
      <c r="L152" s="120">
        <f>+L157+L159+L155+L153</f>
        <v>1211</v>
      </c>
      <c r="M152" s="120">
        <f t="shared" si="17"/>
        <v>1307.48</v>
      </c>
      <c r="N152" s="380">
        <f t="shared" si="15"/>
        <v>-14.6269319420956</v>
      </c>
      <c r="O152" s="375"/>
    </row>
    <row r="153" s="109" customFormat="1" ht="30" customHeight="1" spans="1:15">
      <c r="A153" s="374">
        <v>20601</v>
      </c>
      <c r="B153" s="199" t="s">
        <v>215</v>
      </c>
      <c r="C153" s="375" t="e">
        <f t="shared" si="18"/>
        <v>#REF!</v>
      </c>
      <c r="D153" s="120">
        <v>0</v>
      </c>
      <c r="E153" s="120"/>
      <c r="F153" s="120">
        <v>0</v>
      </c>
      <c r="G153" s="120"/>
      <c r="H153" s="120"/>
      <c r="I153" s="120">
        <v>44.98</v>
      </c>
      <c r="J153" s="120">
        <f t="shared" si="14"/>
        <v>0</v>
      </c>
      <c r="K153" s="120">
        <v>44.98</v>
      </c>
      <c r="L153" s="120"/>
      <c r="M153" s="120">
        <f t="shared" si="17"/>
        <v>44.98</v>
      </c>
      <c r="N153" s="380"/>
      <c r="O153" s="121"/>
    </row>
    <row r="154" s="109" customFormat="1" ht="30" customHeight="1" spans="1:15">
      <c r="A154" s="374">
        <v>2060101</v>
      </c>
      <c r="B154" s="199" t="s">
        <v>73</v>
      </c>
      <c r="C154" s="375" t="e">
        <f>#REF!+#REF!</f>
        <v>#REF!</v>
      </c>
      <c r="D154" s="120">
        <v>0</v>
      </c>
      <c r="E154" s="120"/>
      <c r="F154" s="120">
        <v>0</v>
      </c>
      <c r="G154" s="120"/>
      <c r="H154" s="120"/>
      <c r="I154" s="120">
        <v>44.98</v>
      </c>
      <c r="J154" s="120">
        <f t="shared" si="14"/>
        <v>0</v>
      </c>
      <c r="K154" s="120">
        <v>44.98</v>
      </c>
      <c r="L154" s="120"/>
      <c r="M154" s="120">
        <f t="shared" si="17"/>
        <v>44.98</v>
      </c>
      <c r="N154" s="380"/>
      <c r="O154" s="375" t="s">
        <v>120</v>
      </c>
    </row>
    <row r="155" s="109" customFormat="1" ht="30" customHeight="1" spans="1:15">
      <c r="A155" s="374">
        <v>20604</v>
      </c>
      <c r="B155" s="199" t="s">
        <v>216</v>
      </c>
      <c r="C155" s="375" t="e">
        <f t="shared" ref="C155:C159" si="20">C156</f>
        <v>#REF!</v>
      </c>
      <c r="D155" s="120">
        <v>7.5</v>
      </c>
      <c r="E155" s="120">
        <v>1055.91</v>
      </c>
      <c r="F155" s="120">
        <v>1063.41</v>
      </c>
      <c r="G155" s="120">
        <v>0</v>
      </c>
      <c r="H155" s="120">
        <v>0</v>
      </c>
      <c r="I155" s="120">
        <v>0</v>
      </c>
      <c r="J155" s="120">
        <f t="shared" si="14"/>
        <v>0.0899999999999181</v>
      </c>
      <c r="K155" s="120">
        <v>7.5</v>
      </c>
      <c r="L155" s="120">
        <v>1056</v>
      </c>
      <c r="M155" s="120">
        <f t="shared" si="17"/>
        <v>1063.5</v>
      </c>
      <c r="N155" s="380">
        <f t="shared" si="15"/>
        <v>0.00846333963381181</v>
      </c>
      <c r="O155" s="121"/>
    </row>
    <row r="156" s="109" customFormat="1" ht="30" customHeight="1" spans="1:15">
      <c r="A156" s="381">
        <v>2060499</v>
      </c>
      <c r="B156" s="199" t="s">
        <v>217</v>
      </c>
      <c r="C156" s="375" t="e">
        <f>+#REF!</f>
        <v>#REF!</v>
      </c>
      <c r="D156" s="120">
        <v>7.5</v>
      </c>
      <c r="E156" s="120">
        <v>1055.91</v>
      </c>
      <c r="F156" s="120">
        <v>1063.41</v>
      </c>
      <c r="G156" s="120">
        <v>0</v>
      </c>
      <c r="H156" s="120">
        <v>0</v>
      </c>
      <c r="I156" s="120">
        <v>0</v>
      </c>
      <c r="J156" s="120">
        <f t="shared" si="14"/>
        <v>0.0899999999999181</v>
      </c>
      <c r="K156" s="120">
        <v>7.5</v>
      </c>
      <c r="L156" s="120">
        <v>1056</v>
      </c>
      <c r="M156" s="120">
        <f t="shared" si="17"/>
        <v>1063.5</v>
      </c>
      <c r="N156" s="380">
        <f t="shared" si="15"/>
        <v>0.00846333963381181</v>
      </c>
      <c r="O156" s="375"/>
    </row>
    <row r="157" s="109" customFormat="1" ht="30" customHeight="1" spans="1:15">
      <c r="A157" s="374">
        <v>20607</v>
      </c>
      <c r="B157" s="199" t="s">
        <v>218</v>
      </c>
      <c r="C157" s="375" t="e">
        <f t="shared" si="20"/>
        <v>#REF!</v>
      </c>
      <c r="D157" s="120">
        <v>14</v>
      </c>
      <c r="E157" s="120">
        <v>0</v>
      </c>
      <c r="F157" s="120">
        <v>14</v>
      </c>
      <c r="G157" s="120">
        <v>0</v>
      </c>
      <c r="H157" s="120">
        <v>0</v>
      </c>
      <c r="I157" s="120">
        <v>0</v>
      </c>
      <c r="J157" s="120">
        <f t="shared" si="14"/>
        <v>0</v>
      </c>
      <c r="K157" s="120">
        <v>14</v>
      </c>
      <c r="L157" s="120"/>
      <c r="M157" s="120">
        <f t="shared" si="17"/>
        <v>14</v>
      </c>
      <c r="N157" s="380">
        <f t="shared" si="15"/>
        <v>0</v>
      </c>
      <c r="O157" s="121"/>
    </row>
    <row r="158" s="109" customFormat="1" ht="30" customHeight="1" spans="1:15">
      <c r="A158" s="374">
        <v>2060799</v>
      </c>
      <c r="B158" s="199" t="s">
        <v>219</v>
      </c>
      <c r="C158" s="375" t="e">
        <f>#REF!</f>
        <v>#REF!</v>
      </c>
      <c r="D158" s="120">
        <v>14</v>
      </c>
      <c r="E158" s="120">
        <v>0</v>
      </c>
      <c r="F158" s="120">
        <v>14</v>
      </c>
      <c r="G158" s="120">
        <v>0</v>
      </c>
      <c r="H158" s="120">
        <v>0</v>
      </c>
      <c r="I158" s="120">
        <v>0</v>
      </c>
      <c r="J158" s="120">
        <f t="shared" si="14"/>
        <v>0</v>
      </c>
      <c r="K158" s="120">
        <v>14</v>
      </c>
      <c r="L158" s="120"/>
      <c r="M158" s="120">
        <f t="shared" si="17"/>
        <v>14</v>
      </c>
      <c r="N158" s="380">
        <f t="shared" si="15"/>
        <v>0</v>
      </c>
      <c r="O158" s="121"/>
    </row>
    <row r="159" s="109" customFormat="1" ht="30" customHeight="1" spans="1:15">
      <c r="A159" s="374">
        <v>20699</v>
      </c>
      <c r="B159" s="199" t="s">
        <v>220</v>
      </c>
      <c r="C159" s="375" t="e">
        <f t="shared" si="20"/>
        <v>#REF!</v>
      </c>
      <c r="D159" s="120">
        <v>298.8</v>
      </c>
      <c r="E159" s="120">
        <v>155.28</v>
      </c>
      <c r="F159" s="120">
        <v>454.08</v>
      </c>
      <c r="G159" s="120">
        <v>-268.8</v>
      </c>
      <c r="H159" s="120">
        <v>0</v>
      </c>
      <c r="I159" s="120">
        <v>0</v>
      </c>
      <c r="J159" s="120">
        <f t="shared" si="14"/>
        <v>-0.280000000000001</v>
      </c>
      <c r="K159" s="120">
        <v>30</v>
      </c>
      <c r="L159" s="120">
        <v>155</v>
      </c>
      <c r="M159" s="120">
        <f t="shared" si="17"/>
        <v>185</v>
      </c>
      <c r="N159" s="380">
        <f t="shared" si="15"/>
        <v>-59.2582804792107</v>
      </c>
      <c r="O159" s="121"/>
    </row>
    <row r="160" s="109" customFormat="1" ht="30" customHeight="1" spans="1:15">
      <c r="A160" s="374">
        <v>2069999</v>
      </c>
      <c r="B160" s="199" t="s">
        <v>220</v>
      </c>
      <c r="C160" s="375" t="e">
        <f>SUM(#REF!)</f>
        <v>#REF!</v>
      </c>
      <c r="D160" s="120">
        <v>298.8</v>
      </c>
      <c r="E160" s="120">
        <v>155.28</v>
      </c>
      <c r="F160" s="120">
        <v>454.08</v>
      </c>
      <c r="G160" s="120">
        <v>-268.8</v>
      </c>
      <c r="H160" s="120">
        <v>0</v>
      </c>
      <c r="I160" s="120">
        <v>0</v>
      </c>
      <c r="J160" s="120">
        <f t="shared" si="14"/>
        <v>-0.280000000000001</v>
      </c>
      <c r="K160" s="120">
        <v>30</v>
      </c>
      <c r="L160" s="120">
        <v>155</v>
      </c>
      <c r="M160" s="120">
        <f t="shared" si="17"/>
        <v>185</v>
      </c>
      <c r="N160" s="380">
        <f t="shared" si="15"/>
        <v>-59.2582804792107</v>
      </c>
      <c r="O160" s="121"/>
    </row>
    <row r="161" s="109" customFormat="1" ht="30" customHeight="1" spans="1:15">
      <c r="A161" s="374">
        <v>207</v>
      </c>
      <c r="B161" s="199" t="s">
        <v>221</v>
      </c>
      <c r="C161" s="375" t="e">
        <f t="shared" ref="C161:I161" si="21">C162+C169+C172+C174</f>
        <v>#REF!</v>
      </c>
      <c r="D161" s="120">
        <f t="shared" si="21"/>
        <v>2833.67</v>
      </c>
      <c r="E161" s="120">
        <v>849.3</v>
      </c>
      <c r="F161" s="120">
        <f>D161+E161</f>
        <v>3682.97</v>
      </c>
      <c r="G161" s="120">
        <f t="shared" si="21"/>
        <v>-1976.06372</v>
      </c>
      <c r="H161" s="120">
        <f t="shared" si="21"/>
        <v>0</v>
      </c>
      <c r="I161" s="120">
        <f t="shared" si="21"/>
        <v>147.535</v>
      </c>
      <c r="J161" s="120">
        <f t="shared" si="14"/>
        <v>263.7</v>
      </c>
      <c r="K161" s="120">
        <v>1005.14128</v>
      </c>
      <c r="L161" s="120">
        <f>L162+L169+L172+L174</f>
        <v>1113</v>
      </c>
      <c r="M161" s="120">
        <f t="shared" si="17"/>
        <v>2118.14128</v>
      </c>
      <c r="N161" s="380">
        <f t="shared" si="15"/>
        <v>-42.4882287936095</v>
      </c>
      <c r="O161" s="121"/>
    </row>
    <row r="162" s="109" customFormat="1" ht="30" customHeight="1" spans="1:15">
      <c r="A162" s="374">
        <v>20701</v>
      </c>
      <c r="B162" s="199" t="s">
        <v>222</v>
      </c>
      <c r="C162" s="375" t="e">
        <f>C163+C164+C165+C166+C167+C168</f>
        <v>#REF!</v>
      </c>
      <c r="D162" s="120">
        <v>604.79</v>
      </c>
      <c r="E162" s="120">
        <v>768.5</v>
      </c>
      <c r="F162" s="120">
        <v>1373.29</v>
      </c>
      <c r="G162" s="120">
        <v>-181.2311</v>
      </c>
      <c r="H162" s="120">
        <v>0</v>
      </c>
      <c r="I162" s="120">
        <v>46.125</v>
      </c>
      <c r="J162" s="120">
        <f t="shared" si="14"/>
        <v>-551.5</v>
      </c>
      <c r="K162" s="120">
        <v>469.6839</v>
      </c>
      <c r="L162" s="120">
        <f>L168</f>
        <v>217</v>
      </c>
      <c r="M162" s="120">
        <f t="shared" si="17"/>
        <v>686.6839</v>
      </c>
      <c r="N162" s="380">
        <f t="shared" si="15"/>
        <v>-49.9971673863496</v>
      </c>
      <c r="O162" s="121"/>
    </row>
    <row r="163" s="109" customFormat="1" ht="30" customHeight="1" spans="1:15">
      <c r="A163" s="374">
        <v>2070101</v>
      </c>
      <c r="B163" s="199" t="s">
        <v>73</v>
      </c>
      <c r="C163" s="375" t="e">
        <f>SUM(#REF!)</f>
        <v>#REF!</v>
      </c>
      <c r="D163" s="120">
        <v>242.49</v>
      </c>
      <c r="E163" s="120">
        <v>0</v>
      </c>
      <c r="F163" s="120">
        <v>242.49</v>
      </c>
      <c r="G163" s="120">
        <v>-14.5211</v>
      </c>
      <c r="H163" s="120">
        <v>0</v>
      </c>
      <c r="I163" s="120">
        <v>0.741</v>
      </c>
      <c r="J163" s="120">
        <f t="shared" si="14"/>
        <v>0</v>
      </c>
      <c r="K163" s="120">
        <v>228.7099</v>
      </c>
      <c r="L163" s="120"/>
      <c r="M163" s="120">
        <f t="shared" si="17"/>
        <v>228.7099</v>
      </c>
      <c r="N163" s="380">
        <f t="shared" si="15"/>
        <v>-5.68274980411564</v>
      </c>
      <c r="O163" s="121" t="s">
        <v>101</v>
      </c>
    </row>
    <row r="164" s="109" customFormat="1" ht="30" customHeight="1" spans="1:15">
      <c r="A164" s="374">
        <v>2070104</v>
      </c>
      <c r="B164" s="199" t="s">
        <v>223</v>
      </c>
      <c r="C164" s="375" t="e">
        <f>SUM(#REF!)</f>
        <v>#REF!</v>
      </c>
      <c r="D164" s="120">
        <v>23.96</v>
      </c>
      <c r="E164" s="120">
        <v>0</v>
      </c>
      <c r="F164" s="120">
        <v>23.96</v>
      </c>
      <c r="G164" s="120">
        <v>-0.03</v>
      </c>
      <c r="H164" s="120">
        <v>0</v>
      </c>
      <c r="I164" s="120">
        <v>12.43</v>
      </c>
      <c r="J164" s="120">
        <f t="shared" si="14"/>
        <v>0</v>
      </c>
      <c r="K164" s="120">
        <v>36.36</v>
      </c>
      <c r="L164" s="120"/>
      <c r="M164" s="120">
        <f t="shared" si="17"/>
        <v>36.36</v>
      </c>
      <c r="N164" s="380">
        <f t="shared" si="15"/>
        <v>51.7529215358932</v>
      </c>
      <c r="O164" s="121" t="s">
        <v>101</v>
      </c>
    </row>
    <row r="165" s="109" customFormat="1" ht="30" customHeight="1" spans="1:15">
      <c r="A165" s="374">
        <v>2070109</v>
      </c>
      <c r="B165" s="199" t="s">
        <v>224</v>
      </c>
      <c r="C165" s="375" t="e">
        <f>SUM(#REF!)</f>
        <v>#REF!</v>
      </c>
      <c r="D165" s="120">
        <v>178.34</v>
      </c>
      <c r="E165" s="120">
        <v>0</v>
      </c>
      <c r="F165" s="120">
        <v>178.34</v>
      </c>
      <c r="G165" s="120">
        <v>-14.68</v>
      </c>
      <c r="H165" s="120">
        <v>0</v>
      </c>
      <c r="I165" s="120">
        <v>32.954</v>
      </c>
      <c r="J165" s="120">
        <f t="shared" si="14"/>
        <v>0</v>
      </c>
      <c r="K165" s="120">
        <v>196.614</v>
      </c>
      <c r="L165" s="120"/>
      <c r="M165" s="120">
        <f t="shared" si="17"/>
        <v>196.614</v>
      </c>
      <c r="N165" s="380">
        <f t="shared" si="15"/>
        <v>10.2467197487944</v>
      </c>
      <c r="O165" s="121" t="s">
        <v>101</v>
      </c>
    </row>
    <row r="166" s="109" customFormat="1" ht="30" customHeight="1" spans="1:15">
      <c r="A166" s="374">
        <v>2070112</v>
      </c>
      <c r="B166" s="199" t="s">
        <v>225</v>
      </c>
      <c r="C166" s="375" t="e">
        <f>#REF!</f>
        <v>#REF!</v>
      </c>
      <c r="D166" s="120">
        <v>2</v>
      </c>
      <c r="E166" s="120">
        <v>0</v>
      </c>
      <c r="F166" s="120">
        <v>2</v>
      </c>
      <c r="G166" s="120">
        <v>0</v>
      </c>
      <c r="H166" s="120">
        <v>0</v>
      </c>
      <c r="I166" s="120">
        <v>0</v>
      </c>
      <c r="J166" s="120">
        <f t="shared" si="14"/>
        <v>0</v>
      </c>
      <c r="K166" s="120">
        <v>2</v>
      </c>
      <c r="L166" s="120"/>
      <c r="M166" s="120">
        <f t="shared" si="17"/>
        <v>2</v>
      </c>
      <c r="N166" s="380">
        <f t="shared" si="15"/>
        <v>0</v>
      </c>
      <c r="O166" s="121"/>
    </row>
    <row r="167" s="109" customFormat="1" ht="30" customHeight="1" spans="1:15">
      <c r="A167" s="374">
        <v>2070113</v>
      </c>
      <c r="B167" s="199" t="s">
        <v>226</v>
      </c>
      <c r="C167" s="375" t="e">
        <f>#REF!</f>
        <v>#REF!</v>
      </c>
      <c r="D167" s="120">
        <v>6</v>
      </c>
      <c r="E167" s="120">
        <v>0</v>
      </c>
      <c r="F167" s="120">
        <v>6</v>
      </c>
      <c r="G167" s="120">
        <v>0</v>
      </c>
      <c r="H167" s="120">
        <v>0</v>
      </c>
      <c r="I167" s="120">
        <v>0</v>
      </c>
      <c r="J167" s="120">
        <f t="shared" si="14"/>
        <v>0</v>
      </c>
      <c r="K167" s="120">
        <v>6</v>
      </c>
      <c r="L167" s="120"/>
      <c r="M167" s="120">
        <f t="shared" si="17"/>
        <v>6</v>
      </c>
      <c r="N167" s="380">
        <f t="shared" si="15"/>
        <v>0</v>
      </c>
      <c r="O167" s="375"/>
    </row>
    <row r="168" s="109" customFormat="1" ht="30" customHeight="1" spans="1:15">
      <c r="A168" s="374">
        <v>2070199</v>
      </c>
      <c r="B168" s="199" t="s">
        <v>227</v>
      </c>
      <c r="C168" s="375" t="e">
        <f>#REF!+#REF!+#REF!</f>
        <v>#REF!</v>
      </c>
      <c r="D168" s="120">
        <v>152</v>
      </c>
      <c r="E168" s="120">
        <v>768.5</v>
      </c>
      <c r="F168" s="120">
        <v>920.5</v>
      </c>
      <c r="G168" s="120">
        <v>-152</v>
      </c>
      <c r="H168" s="120">
        <v>0</v>
      </c>
      <c r="I168" s="120">
        <v>0</v>
      </c>
      <c r="J168" s="120">
        <f t="shared" si="14"/>
        <v>-551.5</v>
      </c>
      <c r="K168" s="120">
        <v>0</v>
      </c>
      <c r="L168" s="120">
        <v>217</v>
      </c>
      <c r="M168" s="120">
        <f t="shared" si="17"/>
        <v>217</v>
      </c>
      <c r="N168" s="380">
        <f t="shared" si="15"/>
        <v>-76.425855513308</v>
      </c>
      <c r="O168" s="375"/>
    </row>
    <row r="169" s="109" customFormat="1" ht="30" customHeight="1" spans="1:15">
      <c r="A169" s="374">
        <v>20702</v>
      </c>
      <c r="B169" s="199" t="s">
        <v>228</v>
      </c>
      <c r="C169" s="375" t="e">
        <f>C170+C171</f>
        <v>#REF!</v>
      </c>
      <c r="D169" s="120">
        <v>16.76</v>
      </c>
      <c r="E169" s="120">
        <v>0</v>
      </c>
      <c r="F169" s="120">
        <v>16.76</v>
      </c>
      <c r="G169" s="120">
        <v>-1.94</v>
      </c>
      <c r="H169" s="120">
        <v>0</v>
      </c>
      <c r="I169" s="120">
        <v>16.41</v>
      </c>
      <c r="J169" s="120">
        <f t="shared" si="14"/>
        <v>13</v>
      </c>
      <c r="K169" s="120">
        <v>31.23</v>
      </c>
      <c r="L169" s="120">
        <f>L170</f>
        <v>13</v>
      </c>
      <c r="M169" s="120">
        <f t="shared" si="17"/>
        <v>44.23</v>
      </c>
      <c r="N169" s="380">
        <f t="shared" si="15"/>
        <v>163.90214797136</v>
      </c>
      <c r="O169" s="375"/>
    </row>
    <row r="170" s="109" customFormat="1" ht="30" customHeight="1" spans="1:15">
      <c r="A170" s="374">
        <v>2070204</v>
      </c>
      <c r="B170" s="199" t="s">
        <v>229</v>
      </c>
      <c r="C170" s="375" t="e">
        <f>#REF!</f>
        <v>#REF!</v>
      </c>
      <c r="D170" s="120">
        <v>2</v>
      </c>
      <c r="E170" s="120">
        <v>0</v>
      </c>
      <c r="F170" s="120">
        <v>2</v>
      </c>
      <c r="G170" s="120">
        <v>-1.94</v>
      </c>
      <c r="H170" s="120">
        <v>0</v>
      </c>
      <c r="I170" s="120">
        <v>0</v>
      </c>
      <c r="J170" s="120">
        <f t="shared" si="14"/>
        <v>13</v>
      </c>
      <c r="K170" s="120">
        <v>0.06</v>
      </c>
      <c r="L170" s="120">
        <v>13</v>
      </c>
      <c r="M170" s="120">
        <f t="shared" si="17"/>
        <v>13.06</v>
      </c>
      <c r="N170" s="380">
        <f t="shared" si="15"/>
        <v>553</v>
      </c>
      <c r="O170" s="121"/>
    </row>
    <row r="171" s="109" customFormat="1" ht="30" customHeight="1" spans="1:15">
      <c r="A171" s="374">
        <v>2070205</v>
      </c>
      <c r="B171" s="199" t="s">
        <v>230</v>
      </c>
      <c r="C171" s="375" t="e">
        <f>SUM(#REF!)</f>
        <v>#REF!</v>
      </c>
      <c r="D171" s="120">
        <v>14.76</v>
      </c>
      <c r="E171" s="120">
        <v>0</v>
      </c>
      <c r="F171" s="120">
        <v>14.76</v>
      </c>
      <c r="G171" s="120">
        <v>0</v>
      </c>
      <c r="H171" s="120">
        <v>0</v>
      </c>
      <c r="I171" s="120">
        <v>16.41</v>
      </c>
      <c r="J171" s="120">
        <f t="shared" si="14"/>
        <v>0</v>
      </c>
      <c r="K171" s="120">
        <v>31.17</v>
      </c>
      <c r="L171" s="120"/>
      <c r="M171" s="120">
        <f t="shared" si="17"/>
        <v>31.17</v>
      </c>
      <c r="N171" s="380">
        <f t="shared" si="15"/>
        <v>111.178861788618</v>
      </c>
      <c r="O171" s="121" t="s">
        <v>101</v>
      </c>
    </row>
    <row r="172" s="109" customFormat="1" ht="30" customHeight="1" spans="1:15">
      <c r="A172" s="374">
        <v>20703</v>
      </c>
      <c r="B172" s="199" t="s">
        <v>231</v>
      </c>
      <c r="C172" s="375" t="e">
        <f>C173</f>
        <v>#REF!</v>
      </c>
      <c r="D172" s="120">
        <v>7</v>
      </c>
      <c r="E172" s="120">
        <v>0</v>
      </c>
      <c r="F172" s="120">
        <v>7</v>
      </c>
      <c r="G172" s="120">
        <v>0</v>
      </c>
      <c r="H172" s="120">
        <v>0</v>
      </c>
      <c r="I172" s="120">
        <v>0</v>
      </c>
      <c r="J172" s="120">
        <f t="shared" si="14"/>
        <v>0</v>
      </c>
      <c r="K172" s="120">
        <v>7</v>
      </c>
      <c r="L172" s="120"/>
      <c r="M172" s="120">
        <f t="shared" si="17"/>
        <v>7</v>
      </c>
      <c r="N172" s="380">
        <f t="shared" si="15"/>
        <v>0</v>
      </c>
      <c r="O172" s="121"/>
    </row>
    <row r="173" s="109" customFormat="1" ht="30" customHeight="1" spans="1:15">
      <c r="A173" s="374">
        <v>2070308</v>
      </c>
      <c r="B173" s="199" t="s">
        <v>232</v>
      </c>
      <c r="C173" s="375" t="e">
        <f>#REF!</f>
        <v>#REF!</v>
      </c>
      <c r="D173" s="120">
        <v>7</v>
      </c>
      <c r="E173" s="120">
        <v>0</v>
      </c>
      <c r="F173" s="120">
        <v>7</v>
      </c>
      <c r="G173" s="120">
        <v>0</v>
      </c>
      <c r="H173" s="120">
        <v>0</v>
      </c>
      <c r="I173" s="120">
        <v>0</v>
      </c>
      <c r="J173" s="120">
        <f t="shared" si="14"/>
        <v>0</v>
      </c>
      <c r="K173" s="120">
        <v>7</v>
      </c>
      <c r="L173" s="120"/>
      <c r="M173" s="120">
        <f t="shared" si="17"/>
        <v>7</v>
      </c>
      <c r="N173" s="380">
        <f t="shared" si="15"/>
        <v>0</v>
      </c>
      <c r="O173" s="121"/>
    </row>
    <row r="174" s="109" customFormat="1" ht="30" customHeight="1" spans="1:15">
      <c r="A174" s="374">
        <v>20799</v>
      </c>
      <c r="B174" s="199" t="s">
        <v>233</v>
      </c>
      <c r="C174" s="375" t="e">
        <f>C175</f>
        <v>#REF!</v>
      </c>
      <c r="D174" s="120">
        <v>2205.12</v>
      </c>
      <c r="E174" s="120">
        <v>80.8</v>
      </c>
      <c r="F174" s="120">
        <v>2285.92</v>
      </c>
      <c r="G174" s="120">
        <v>-1792.89262</v>
      </c>
      <c r="H174" s="120">
        <v>0</v>
      </c>
      <c r="I174" s="120">
        <v>85</v>
      </c>
      <c r="J174" s="120">
        <f t="shared" si="14"/>
        <v>802.2</v>
      </c>
      <c r="K174" s="120">
        <v>497.22738</v>
      </c>
      <c r="L174" s="120">
        <f>L175</f>
        <v>883</v>
      </c>
      <c r="M174" s="120">
        <f t="shared" si="17"/>
        <v>1380.22738</v>
      </c>
      <c r="N174" s="380">
        <f t="shared" si="15"/>
        <v>-39.6204862812347</v>
      </c>
      <c r="O174" s="121"/>
    </row>
    <row r="175" s="109" customFormat="1" ht="30" customHeight="1" spans="1:15">
      <c r="A175" s="374">
        <v>2079999</v>
      </c>
      <c r="B175" s="199" t="s">
        <v>233</v>
      </c>
      <c r="C175" s="375" t="e">
        <f>SUM(#REF!)</f>
        <v>#REF!</v>
      </c>
      <c r="D175" s="120">
        <v>2205.12</v>
      </c>
      <c r="E175" s="120">
        <v>80.8</v>
      </c>
      <c r="F175" s="120">
        <v>2285.92</v>
      </c>
      <c r="G175" s="120">
        <v>-1792.89262</v>
      </c>
      <c r="H175" s="120">
        <v>0</v>
      </c>
      <c r="I175" s="120">
        <v>85</v>
      </c>
      <c r="J175" s="120">
        <f t="shared" si="14"/>
        <v>802.2</v>
      </c>
      <c r="K175" s="120">
        <v>497.22738</v>
      </c>
      <c r="L175" s="120">
        <v>883</v>
      </c>
      <c r="M175" s="120">
        <f t="shared" si="17"/>
        <v>1380.22738</v>
      </c>
      <c r="N175" s="380">
        <f t="shared" si="15"/>
        <v>-39.6204862812347</v>
      </c>
      <c r="O175" s="121"/>
    </row>
    <row r="176" s="109" customFormat="1" ht="30" customHeight="1" spans="1:15">
      <c r="A176" s="374">
        <v>208</v>
      </c>
      <c r="B176" s="199" t="s">
        <v>234</v>
      </c>
      <c r="C176" s="375" t="e">
        <f>C177+C182+C188+C195+C198+C203+C209+C214+C220+C223+C226+C229+C232+C235+C238+C246+C244</f>
        <v>#REF!</v>
      </c>
      <c r="D176" s="120">
        <f>D177+D182+D188+D195+D198+D203+D209+D214+D220+D223+D226+D229+D232+D235+D238+D246+D244-2</f>
        <v>21716.833319</v>
      </c>
      <c r="E176" s="120">
        <v>15169.5306</v>
      </c>
      <c r="F176" s="120">
        <f>D176+E176</f>
        <v>36886.363919</v>
      </c>
      <c r="G176" s="120">
        <f t="shared" ref="G176:L176" si="22">G177+G182+G188+G195+G198+G203+G209+G214+G220+G223+G226+G229+G232+G235+G238+G246+G244</f>
        <v>-6661.83431</v>
      </c>
      <c r="H176" s="120">
        <f t="shared" si="22"/>
        <v>24</v>
      </c>
      <c r="I176" s="120">
        <f t="shared" si="22"/>
        <v>332.3555822</v>
      </c>
      <c r="J176" s="120">
        <f t="shared" si="14"/>
        <v>-495.5306</v>
      </c>
      <c r="K176" s="120">
        <f t="shared" si="22"/>
        <v>15413.0912722</v>
      </c>
      <c r="L176" s="120">
        <f t="shared" si="22"/>
        <v>14674</v>
      </c>
      <c r="M176" s="120">
        <f t="shared" si="17"/>
        <v>30087.0912722</v>
      </c>
      <c r="N176" s="380">
        <f t="shared" si="15"/>
        <v>-18.4330249024565</v>
      </c>
      <c r="O176" s="121"/>
    </row>
    <row r="177" s="109" customFormat="1" ht="30" customHeight="1" spans="1:15">
      <c r="A177" s="374">
        <v>20801</v>
      </c>
      <c r="B177" s="199" t="s">
        <v>235</v>
      </c>
      <c r="C177" s="375" t="e">
        <f>C178+C179+C180+C181</f>
        <v>#REF!</v>
      </c>
      <c r="D177" s="120">
        <v>939.98</v>
      </c>
      <c r="E177" s="120">
        <v>241.8</v>
      </c>
      <c r="F177" s="120">
        <v>1181.78</v>
      </c>
      <c r="G177" s="120">
        <v>-114.648</v>
      </c>
      <c r="H177" s="120">
        <v>-4</v>
      </c>
      <c r="I177" s="120">
        <v>14.227532</v>
      </c>
      <c r="J177" s="120">
        <f t="shared" si="14"/>
        <v>23.2</v>
      </c>
      <c r="K177" s="120">
        <v>835.559532</v>
      </c>
      <c r="L177" s="120">
        <f>L181</f>
        <v>265</v>
      </c>
      <c r="M177" s="120">
        <f t="shared" si="17"/>
        <v>1100.559532</v>
      </c>
      <c r="N177" s="380">
        <f t="shared" si="15"/>
        <v>-6.87272318028736</v>
      </c>
      <c r="O177" s="121"/>
    </row>
    <row r="178" s="109" customFormat="1" ht="30" customHeight="1" spans="1:15">
      <c r="A178" s="374">
        <v>2080101</v>
      </c>
      <c r="B178" s="199" t="s">
        <v>73</v>
      </c>
      <c r="C178" s="375" t="e">
        <f>SUM(#REF!)</f>
        <v>#REF!</v>
      </c>
      <c r="D178" s="120">
        <v>416.56</v>
      </c>
      <c r="E178" s="120">
        <v>0</v>
      </c>
      <c r="F178" s="120">
        <v>416.56</v>
      </c>
      <c r="G178" s="120">
        <v>-2.1148</v>
      </c>
      <c r="H178" s="120">
        <v>0</v>
      </c>
      <c r="I178" s="120">
        <v>0.346332</v>
      </c>
      <c r="J178" s="120">
        <f t="shared" si="14"/>
        <v>0</v>
      </c>
      <c r="K178" s="120">
        <v>414.791532</v>
      </c>
      <c r="L178" s="120"/>
      <c r="M178" s="120">
        <f t="shared" si="17"/>
        <v>414.791532</v>
      </c>
      <c r="N178" s="380">
        <f t="shared" si="15"/>
        <v>-0.424541002496635</v>
      </c>
      <c r="O178" s="121" t="s">
        <v>236</v>
      </c>
    </row>
    <row r="179" s="109" customFormat="1" ht="30" customHeight="1" spans="1:15">
      <c r="A179" s="374">
        <v>2080102</v>
      </c>
      <c r="B179" s="199" t="s">
        <v>89</v>
      </c>
      <c r="C179" s="375" t="e">
        <f>SUM(#REF!)</f>
        <v>#REF!</v>
      </c>
      <c r="D179" s="120">
        <v>77</v>
      </c>
      <c r="E179" s="120">
        <v>0</v>
      </c>
      <c r="F179" s="120">
        <v>77</v>
      </c>
      <c r="G179" s="120">
        <v>-61</v>
      </c>
      <c r="H179" s="120">
        <v>0</v>
      </c>
      <c r="I179" s="120">
        <v>0</v>
      </c>
      <c r="J179" s="120">
        <f t="shared" si="14"/>
        <v>0</v>
      </c>
      <c r="K179" s="120">
        <v>16</v>
      </c>
      <c r="L179" s="120"/>
      <c r="M179" s="120">
        <f t="shared" si="17"/>
        <v>16</v>
      </c>
      <c r="N179" s="380">
        <f t="shared" si="15"/>
        <v>-79.2207792207792</v>
      </c>
      <c r="O179" s="121" t="s">
        <v>237</v>
      </c>
    </row>
    <row r="180" s="109" customFormat="1" ht="30" customHeight="1" spans="1:15">
      <c r="A180" s="374">
        <v>2080111</v>
      </c>
      <c r="B180" s="199" t="s">
        <v>238</v>
      </c>
      <c r="C180" s="375" t="e">
        <f>SUM(#REF!)</f>
        <v>#REF!</v>
      </c>
      <c r="D180" s="120">
        <v>163.61</v>
      </c>
      <c r="E180" s="120">
        <v>0</v>
      </c>
      <c r="F180" s="120">
        <v>163.61</v>
      </c>
      <c r="G180" s="120">
        <v>-9.3552</v>
      </c>
      <c r="H180" s="120">
        <v>0</v>
      </c>
      <c r="I180" s="120">
        <v>14.1132</v>
      </c>
      <c r="J180" s="120">
        <f t="shared" si="14"/>
        <v>0</v>
      </c>
      <c r="K180" s="120">
        <v>168.368</v>
      </c>
      <c r="L180" s="120"/>
      <c r="M180" s="120">
        <f t="shared" si="17"/>
        <v>168.368</v>
      </c>
      <c r="N180" s="380">
        <f t="shared" si="15"/>
        <v>2.90813519955992</v>
      </c>
      <c r="O180" s="121" t="s">
        <v>239</v>
      </c>
    </row>
    <row r="181" s="109" customFormat="1" ht="30" customHeight="1" spans="1:15">
      <c r="A181" s="374">
        <v>2080199</v>
      </c>
      <c r="B181" s="199" t="s">
        <v>240</v>
      </c>
      <c r="C181" s="375" t="e">
        <f>SUM(#REF!)</f>
        <v>#REF!</v>
      </c>
      <c r="D181" s="120">
        <v>282.81</v>
      </c>
      <c r="E181" s="120">
        <v>241.8</v>
      </c>
      <c r="F181" s="120">
        <v>524.61</v>
      </c>
      <c r="G181" s="120">
        <v>-42.178</v>
      </c>
      <c r="H181" s="120">
        <v>-4</v>
      </c>
      <c r="I181" s="120">
        <v>-0.232</v>
      </c>
      <c r="J181" s="120">
        <f t="shared" si="14"/>
        <v>23.2</v>
      </c>
      <c r="K181" s="120">
        <v>236.4</v>
      </c>
      <c r="L181" s="120">
        <v>265</v>
      </c>
      <c r="M181" s="120">
        <f t="shared" si="17"/>
        <v>501.4</v>
      </c>
      <c r="N181" s="380">
        <f t="shared" si="15"/>
        <v>-4.42423895846439</v>
      </c>
      <c r="O181" s="121" t="s">
        <v>241</v>
      </c>
    </row>
    <row r="182" s="109" customFormat="1" ht="30" customHeight="1" spans="1:15">
      <c r="A182" s="374">
        <v>20802</v>
      </c>
      <c r="B182" s="199" t="s">
        <v>242</v>
      </c>
      <c r="C182" s="375" t="e">
        <f>C183+C184+C185+C186+C187</f>
        <v>#REF!</v>
      </c>
      <c r="D182" s="120">
        <v>638.52</v>
      </c>
      <c r="E182" s="120">
        <v>214.7</v>
      </c>
      <c r="F182" s="120">
        <v>853.22</v>
      </c>
      <c r="G182" s="120">
        <v>-355.9749</v>
      </c>
      <c r="H182" s="120">
        <v>0</v>
      </c>
      <c r="I182" s="120">
        <v>10.718892</v>
      </c>
      <c r="J182" s="120">
        <f t="shared" si="14"/>
        <v>-68.7</v>
      </c>
      <c r="K182" s="120">
        <v>293.263992</v>
      </c>
      <c r="L182" s="120">
        <f>L186+L187</f>
        <v>146</v>
      </c>
      <c r="M182" s="120">
        <f t="shared" si="17"/>
        <v>439.263992</v>
      </c>
      <c r="N182" s="380">
        <f t="shared" si="15"/>
        <v>-48.516913340053</v>
      </c>
      <c r="O182" s="121"/>
    </row>
    <row r="183" s="109" customFormat="1" ht="30" customHeight="1" spans="1:15">
      <c r="A183" s="374">
        <v>2080201</v>
      </c>
      <c r="B183" s="199" t="s">
        <v>73</v>
      </c>
      <c r="C183" s="375" t="e">
        <f>SUM(#REF!)</f>
        <v>#REF!</v>
      </c>
      <c r="D183" s="120">
        <v>240.43</v>
      </c>
      <c r="E183" s="120">
        <v>0</v>
      </c>
      <c r="F183" s="120">
        <v>240.43</v>
      </c>
      <c r="G183" s="120">
        <v>-0.7642</v>
      </c>
      <c r="H183" s="120">
        <v>0</v>
      </c>
      <c r="I183" s="120">
        <v>8.235592</v>
      </c>
      <c r="J183" s="120">
        <f t="shared" si="14"/>
        <v>0</v>
      </c>
      <c r="K183" s="120">
        <v>247.901392</v>
      </c>
      <c r="L183" s="120"/>
      <c r="M183" s="120">
        <f t="shared" si="17"/>
        <v>247.901392</v>
      </c>
      <c r="N183" s="380">
        <f t="shared" si="15"/>
        <v>3.10751237366384</v>
      </c>
      <c r="O183" s="121"/>
    </row>
    <row r="184" s="109" customFormat="1" ht="30" customHeight="1" spans="1:15">
      <c r="A184" s="374">
        <v>2080206</v>
      </c>
      <c r="B184" s="199" t="s">
        <v>194</v>
      </c>
      <c r="C184" s="375" t="e">
        <f>SUM(#REF!)</f>
        <v>#REF!</v>
      </c>
      <c r="D184" s="120">
        <v>17</v>
      </c>
      <c r="E184" s="120">
        <v>0</v>
      </c>
      <c r="F184" s="120">
        <v>17</v>
      </c>
      <c r="G184" s="120">
        <v>-13.4289</v>
      </c>
      <c r="H184" s="120">
        <v>0</v>
      </c>
      <c r="I184" s="120">
        <v>0</v>
      </c>
      <c r="J184" s="120">
        <f t="shared" si="14"/>
        <v>0</v>
      </c>
      <c r="K184" s="120">
        <v>3.5711</v>
      </c>
      <c r="L184" s="120"/>
      <c r="M184" s="120">
        <f t="shared" si="17"/>
        <v>3.5711</v>
      </c>
      <c r="N184" s="380">
        <f t="shared" si="15"/>
        <v>-78.9935294117647</v>
      </c>
      <c r="O184" s="121" t="s">
        <v>243</v>
      </c>
    </row>
    <row r="185" s="109" customFormat="1" ht="30" customHeight="1" spans="1:15">
      <c r="A185" s="374">
        <v>2080207</v>
      </c>
      <c r="B185" s="199" t="s">
        <v>244</v>
      </c>
      <c r="C185" s="375" t="e">
        <f>SUM(#REF!)</f>
        <v>#REF!</v>
      </c>
      <c r="D185" s="120">
        <v>60.72</v>
      </c>
      <c r="E185" s="120">
        <v>0</v>
      </c>
      <c r="F185" s="120">
        <v>60.72</v>
      </c>
      <c r="G185" s="120">
        <v>-60.72</v>
      </c>
      <c r="H185" s="120">
        <v>0</v>
      </c>
      <c r="I185" s="120">
        <v>0</v>
      </c>
      <c r="J185" s="120">
        <f t="shared" si="14"/>
        <v>0</v>
      </c>
      <c r="K185" s="120">
        <v>0</v>
      </c>
      <c r="L185" s="120"/>
      <c r="M185" s="120">
        <f t="shared" si="17"/>
        <v>0</v>
      </c>
      <c r="N185" s="380">
        <f t="shared" si="15"/>
        <v>-100</v>
      </c>
      <c r="O185" s="121" t="s">
        <v>245</v>
      </c>
    </row>
    <row r="186" s="109" customFormat="1" ht="30" customHeight="1" spans="1:15">
      <c r="A186" s="374">
        <v>2080208</v>
      </c>
      <c r="B186" s="199" t="s">
        <v>246</v>
      </c>
      <c r="C186" s="375" t="e">
        <f>SUM(#REF!)</f>
        <v>#REF!</v>
      </c>
      <c r="D186" s="120">
        <v>286.8</v>
      </c>
      <c r="E186" s="120">
        <v>46.7</v>
      </c>
      <c r="F186" s="120">
        <v>333.5</v>
      </c>
      <c r="G186" s="120">
        <v>-279.9375</v>
      </c>
      <c r="H186" s="120">
        <v>0</v>
      </c>
      <c r="I186" s="120">
        <v>0</v>
      </c>
      <c r="J186" s="120">
        <f t="shared" si="14"/>
        <v>18.3</v>
      </c>
      <c r="K186" s="120">
        <v>6.8625</v>
      </c>
      <c r="L186" s="120">
        <v>65</v>
      </c>
      <c r="M186" s="120">
        <f t="shared" si="17"/>
        <v>71.8625</v>
      </c>
      <c r="N186" s="380">
        <f t="shared" si="15"/>
        <v>-78.452023988006</v>
      </c>
      <c r="O186" s="121" t="s">
        <v>247</v>
      </c>
    </row>
    <row r="187" s="109" customFormat="1" ht="30" customHeight="1" spans="1:15">
      <c r="A187" s="374">
        <v>2080299</v>
      </c>
      <c r="B187" s="199" t="s">
        <v>248</v>
      </c>
      <c r="C187" s="375" t="e">
        <f>SUM(#REF!)</f>
        <v>#REF!</v>
      </c>
      <c r="D187" s="120">
        <v>33.57</v>
      </c>
      <c r="E187" s="120">
        <v>168</v>
      </c>
      <c r="F187" s="120">
        <v>201.57</v>
      </c>
      <c r="G187" s="120">
        <v>-1.1243</v>
      </c>
      <c r="H187" s="120">
        <v>0</v>
      </c>
      <c r="I187" s="120">
        <v>2.4833</v>
      </c>
      <c r="J187" s="120">
        <f t="shared" si="14"/>
        <v>-87</v>
      </c>
      <c r="K187" s="120">
        <v>34.929</v>
      </c>
      <c r="L187" s="120">
        <v>81</v>
      </c>
      <c r="M187" s="120">
        <f t="shared" si="17"/>
        <v>115.929</v>
      </c>
      <c r="N187" s="380">
        <f t="shared" si="15"/>
        <v>-42.4869772287543</v>
      </c>
      <c r="O187" s="121"/>
    </row>
    <row r="188" s="109" customFormat="1" ht="30" customHeight="1" spans="1:15">
      <c r="A188" s="374">
        <v>20805</v>
      </c>
      <c r="B188" s="199" t="s">
        <v>249</v>
      </c>
      <c r="C188" s="375" t="e">
        <f>C189+C190+C191+C192+C193+C194</f>
        <v>#REF!</v>
      </c>
      <c r="D188" s="120">
        <v>13780.04</v>
      </c>
      <c r="E188" s="120">
        <v>0</v>
      </c>
      <c r="F188" s="120">
        <v>13780.04</v>
      </c>
      <c r="G188" s="120">
        <v>-3971.99408</v>
      </c>
      <c r="H188" s="120">
        <v>0</v>
      </c>
      <c r="I188" s="120">
        <v>256.4924122</v>
      </c>
      <c r="J188" s="120">
        <f t="shared" si="14"/>
        <v>0</v>
      </c>
      <c r="K188" s="120">
        <v>10064.5383322</v>
      </c>
      <c r="L188" s="120"/>
      <c r="M188" s="120">
        <f t="shared" si="17"/>
        <v>10064.5383322</v>
      </c>
      <c r="N188" s="380">
        <f t="shared" si="15"/>
        <v>-26.9629236765641</v>
      </c>
      <c r="O188" s="121"/>
    </row>
    <row r="189" s="109" customFormat="1" ht="30" customHeight="1" spans="1:15">
      <c r="A189" s="374">
        <v>2080501</v>
      </c>
      <c r="B189" s="199" t="s">
        <v>250</v>
      </c>
      <c r="C189" s="375" t="e">
        <f>SUM(#REF!)</f>
        <v>#REF!</v>
      </c>
      <c r="D189" s="120">
        <v>2035.83</v>
      </c>
      <c r="E189" s="120">
        <v>0</v>
      </c>
      <c r="F189" s="120">
        <v>2035.83</v>
      </c>
      <c r="G189" s="120">
        <v>-6.9123</v>
      </c>
      <c r="H189" s="120">
        <v>0</v>
      </c>
      <c r="I189" s="120">
        <v>75.0032</v>
      </c>
      <c r="J189" s="120">
        <f t="shared" si="14"/>
        <v>0</v>
      </c>
      <c r="K189" s="120">
        <v>2103.9209</v>
      </c>
      <c r="L189" s="120"/>
      <c r="M189" s="120">
        <f t="shared" si="17"/>
        <v>2103.9209</v>
      </c>
      <c r="N189" s="380">
        <f t="shared" si="15"/>
        <v>3.34462602476632</v>
      </c>
      <c r="O189" s="121" t="s">
        <v>251</v>
      </c>
    </row>
    <row r="190" s="109" customFormat="1" ht="30" customHeight="1" spans="1:15">
      <c r="A190" s="374">
        <v>2080502</v>
      </c>
      <c r="B190" s="199" t="s">
        <v>252</v>
      </c>
      <c r="C190" s="375" t="e">
        <f>SUM(#REF!)</f>
        <v>#REF!</v>
      </c>
      <c r="D190" s="120">
        <v>908.31</v>
      </c>
      <c r="E190" s="120">
        <v>0</v>
      </c>
      <c r="F190" s="120">
        <v>908.31</v>
      </c>
      <c r="G190" s="120">
        <v>-33.754655</v>
      </c>
      <c r="H190" s="120">
        <v>0</v>
      </c>
      <c r="I190" s="120">
        <v>33.723931</v>
      </c>
      <c r="J190" s="120">
        <f t="shared" si="14"/>
        <v>0</v>
      </c>
      <c r="K190" s="120">
        <v>908.279276</v>
      </c>
      <c r="L190" s="120"/>
      <c r="M190" s="120">
        <f t="shared" si="17"/>
        <v>908.279276</v>
      </c>
      <c r="N190" s="380">
        <f t="shared" si="15"/>
        <v>-0.00338254560667215</v>
      </c>
      <c r="O190" s="121" t="s">
        <v>251</v>
      </c>
    </row>
    <row r="191" s="109" customFormat="1" ht="30" customHeight="1" spans="1:15">
      <c r="A191" s="374">
        <v>2080503</v>
      </c>
      <c r="B191" s="199" t="s">
        <v>253</v>
      </c>
      <c r="C191" s="375" t="e">
        <f>SUM(#REF!)</f>
        <v>#REF!</v>
      </c>
      <c r="D191" s="120">
        <v>73.39</v>
      </c>
      <c r="E191" s="120">
        <v>0</v>
      </c>
      <c r="F191" s="120">
        <v>73.39</v>
      </c>
      <c r="G191" s="120">
        <v>0</v>
      </c>
      <c r="H191" s="120">
        <v>0</v>
      </c>
      <c r="I191" s="120">
        <v>11.56</v>
      </c>
      <c r="J191" s="120">
        <f t="shared" si="14"/>
        <v>0</v>
      </c>
      <c r="K191" s="120">
        <v>84.95</v>
      </c>
      <c r="L191" s="120"/>
      <c r="M191" s="120">
        <f t="shared" si="17"/>
        <v>84.95</v>
      </c>
      <c r="N191" s="380">
        <f t="shared" si="15"/>
        <v>15.7514647772176</v>
      </c>
      <c r="O191" s="121" t="s">
        <v>101</v>
      </c>
    </row>
    <row r="192" s="109" customFormat="1" ht="30" customHeight="1" spans="1:15">
      <c r="A192" s="374">
        <v>2080505</v>
      </c>
      <c r="B192" s="199" t="s">
        <v>254</v>
      </c>
      <c r="C192" s="375" t="e">
        <f>SUM(#REF!)</f>
        <v>#REF!</v>
      </c>
      <c r="D192" s="120">
        <v>1928.21</v>
      </c>
      <c r="E192" s="120">
        <v>0</v>
      </c>
      <c r="F192" s="120">
        <v>1928.21</v>
      </c>
      <c r="G192" s="120">
        <v>-42.335239</v>
      </c>
      <c r="H192" s="120">
        <v>0</v>
      </c>
      <c r="I192" s="120">
        <v>92.0309722</v>
      </c>
      <c r="J192" s="120">
        <f t="shared" si="14"/>
        <v>0</v>
      </c>
      <c r="K192" s="120">
        <v>1977.9057332</v>
      </c>
      <c r="L192" s="120"/>
      <c r="M192" s="120">
        <f t="shared" si="17"/>
        <v>1977.9057332</v>
      </c>
      <c r="N192" s="380">
        <f t="shared" si="15"/>
        <v>2.57729880044186</v>
      </c>
      <c r="O192" s="121" t="s">
        <v>251</v>
      </c>
    </row>
    <row r="193" s="109" customFormat="1" ht="30" customHeight="1" spans="1:15">
      <c r="A193" s="374">
        <v>2080506</v>
      </c>
      <c r="B193" s="199" t="s">
        <v>255</v>
      </c>
      <c r="C193" s="375" t="e">
        <f>SUM(#REF!)</f>
        <v>#REF!</v>
      </c>
      <c r="D193" s="120">
        <v>3934.3</v>
      </c>
      <c r="E193" s="120">
        <v>0</v>
      </c>
      <c r="F193" s="120">
        <v>3934.3</v>
      </c>
      <c r="G193" s="120">
        <v>-416.991886</v>
      </c>
      <c r="H193" s="120">
        <v>0</v>
      </c>
      <c r="I193" s="120">
        <v>44.174309</v>
      </c>
      <c r="J193" s="120">
        <f t="shared" si="14"/>
        <v>0</v>
      </c>
      <c r="K193" s="120">
        <v>3561.482423</v>
      </c>
      <c r="L193" s="120"/>
      <c r="M193" s="120">
        <f t="shared" si="17"/>
        <v>3561.482423</v>
      </c>
      <c r="N193" s="380">
        <f t="shared" si="15"/>
        <v>-9.47608410644842</v>
      </c>
      <c r="O193" s="121" t="s">
        <v>256</v>
      </c>
    </row>
    <row r="194" s="109" customFormat="1" ht="30" customHeight="1" spans="1:15">
      <c r="A194" s="374">
        <v>2080507</v>
      </c>
      <c r="B194" s="199" t="s">
        <v>257</v>
      </c>
      <c r="C194" s="375" t="e">
        <f>#REF!</f>
        <v>#REF!</v>
      </c>
      <c r="D194" s="120">
        <v>4900</v>
      </c>
      <c r="E194" s="120">
        <v>0</v>
      </c>
      <c r="F194" s="120">
        <v>4900</v>
      </c>
      <c r="G194" s="120">
        <v>-3472</v>
      </c>
      <c r="H194" s="120">
        <v>0</v>
      </c>
      <c r="I194" s="120">
        <v>0</v>
      </c>
      <c r="J194" s="120">
        <f t="shared" si="14"/>
        <v>0</v>
      </c>
      <c r="K194" s="120">
        <v>1428</v>
      </c>
      <c r="L194" s="120"/>
      <c r="M194" s="120">
        <f t="shared" si="17"/>
        <v>1428</v>
      </c>
      <c r="N194" s="380">
        <f t="shared" si="15"/>
        <v>-70.8571428571428</v>
      </c>
      <c r="O194" s="375"/>
    </row>
    <row r="195" s="109" customFormat="1" ht="30" customHeight="1" spans="1:15">
      <c r="A195" s="374">
        <v>20807</v>
      </c>
      <c r="B195" s="199" t="s">
        <v>258</v>
      </c>
      <c r="C195" s="375" t="e">
        <f>SUM(C197)</f>
        <v>#REF!</v>
      </c>
      <c r="D195" s="120">
        <v>17</v>
      </c>
      <c r="E195" s="120">
        <v>399</v>
      </c>
      <c r="F195" s="120">
        <v>416</v>
      </c>
      <c r="G195" s="120">
        <v>-7.862226</v>
      </c>
      <c r="H195" s="120">
        <v>0</v>
      </c>
      <c r="I195" s="120">
        <v>0</v>
      </c>
      <c r="J195" s="120">
        <f t="shared" si="14"/>
        <v>0</v>
      </c>
      <c r="K195" s="120">
        <v>9.137774</v>
      </c>
      <c r="L195" s="120">
        <f>L196+L197</f>
        <v>399</v>
      </c>
      <c r="M195" s="120">
        <f t="shared" si="17"/>
        <v>408.137774</v>
      </c>
      <c r="N195" s="380">
        <f t="shared" si="15"/>
        <v>-1.88995817307693</v>
      </c>
      <c r="O195" s="121"/>
    </row>
    <row r="196" s="109" customFormat="1" ht="30" customHeight="1" spans="1:15">
      <c r="A196" s="374">
        <v>2080701</v>
      </c>
      <c r="B196" s="199" t="s">
        <v>259</v>
      </c>
      <c r="C196" s="375"/>
      <c r="D196" s="120"/>
      <c r="E196" s="120"/>
      <c r="F196" s="120"/>
      <c r="G196" s="120"/>
      <c r="H196" s="120"/>
      <c r="I196" s="120"/>
      <c r="J196" s="120">
        <f t="shared" si="14"/>
        <v>107</v>
      </c>
      <c r="K196" s="120"/>
      <c r="L196" s="120">
        <v>107</v>
      </c>
      <c r="M196" s="120"/>
      <c r="N196" s="380"/>
      <c r="O196" s="121"/>
    </row>
    <row r="197" s="109" customFormat="1" ht="30" customHeight="1" spans="1:15">
      <c r="A197" s="374">
        <v>2080799</v>
      </c>
      <c r="B197" s="199" t="s">
        <v>260</v>
      </c>
      <c r="C197" s="375" t="e">
        <f>SUM(#REF!)</f>
        <v>#REF!</v>
      </c>
      <c r="D197" s="120">
        <v>17</v>
      </c>
      <c r="E197" s="120">
        <v>292</v>
      </c>
      <c r="F197" s="120">
        <v>309</v>
      </c>
      <c r="G197" s="120">
        <v>-7.862226</v>
      </c>
      <c r="H197" s="120">
        <v>0</v>
      </c>
      <c r="I197" s="120">
        <v>0</v>
      </c>
      <c r="J197" s="120">
        <f t="shared" si="14"/>
        <v>0</v>
      </c>
      <c r="K197" s="120">
        <v>9.137774</v>
      </c>
      <c r="L197" s="120">
        <v>292</v>
      </c>
      <c r="M197" s="120">
        <f t="shared" ref="M197:M205" si="23">K197+L197</f>
        <v>301.137774</v>
      </c>
      <c r="N197" s="380">
        <f t="shared" si="15"/>
        <v>-2.54440970873787</v>
      </c>
      <c r="O197" s="121" t="s">
        <v>261</v>
      </c>
    </row>
    <row r="198" s="109" customFormat="1" ht="30" customHeight="1" spans="1:15">
      <c r="A198" s="374">
        <v>20808</v>
      </c>
      <c r="B198" s="199" t="s">
        <v>262</v>
      </c>
      <c r="C198" s="375" t="e">
        <f>C199+C200+C201+C202</f>
        <v>#REF!</v>
      </c>
      <c r="D198" s="120">
        <v>720.86</v>
      </c>
      <c r="E198" s="120">
        <v>1066.453</v>
      </c>
      <c r="F198" s="120">
        <v>1787.313</v>
      </c>
      <c r="G198" s="120">
        <f>-267.9111-153</f>
        <v>-420.9111</v>
      </c>
      <c r="H198" s="120">
        <v>0</v>
      </c>
      <c r="I198" s="120">
        <v>0.403199999999997</v>
      </c>
      <c r="J198" s="120">
        <f t="shared" ref="J198:J261" si="24">L198-E198</f>
        <v>-54.453</v>
      </c>
      <c r="K198" s="120">
        <f>453.0921-153</f>
        <v>300.0921</v>
      </c>
      <c r="L198" s="120">
        <f>L202</f>
        <v>1012</v>
      </c>
      <c r="M198" s="120">
        <f t="shared" si="23"/>
        <v>1312.0921</v>
      </c>
      <c r="N198" s="380">
        <f t="shared" ref="N198:N261" si="25">(M198-F198)/F198*100</f>
        <v>-26.5885661884628</v>
      </c>
      <c r="O198" s="121"/>
    </row>
    <row r="199" s="109" customFormat="1" ht="30" customHeight="1" spans="1:15">
      <c r="A199" s="374">
        <v>2080801</v>
      </c>
      <c r="B199" s="199" t="s">
        <v>263</v>
      </c>
      <c r="C199" s="375" t="e">
        <f>SUM(#REF!)</f>
        <v>#REF!</v>
      </c>
      <c r="D199" s="120">
        <v>490.86</v>
      </c>
      <c r="E199" s="120">
        <v>0</v>
      </c>
      <c r="F199" s="120">
        <v>490.86</v>
      </c>
      <c r="G199" s="120">
        <v>-239.9815</v>
      </c>
      <c r="H199" s="120">
        <v>0</v>
      </c>
      <c r="I199" s="120">
        <v>0.00319999999999698</v>
      </c>
      <c r="J199" s="120">
        <f t="shared" si="24"/>
        <v>0</v>
      </c>
      <c r="K199" s="120">
        <v>250.6217</v>
      </c>
      <c r="L199" s="120"/>
      <c r="M199" s="120">
        <f t="shared" si="23"/>
        <v>250.6217</v>
      </c>
      <c r="N199" s="380">
        <f t="shared" si="25"/>
        <v>-48.9423257140529</v>
      </c>
      <c r="O199" s="121" t="s">
        <v>88</v>
      </c>
    </row>
    <row r="200" s="109" customFormat="1" ht="30" customHeight="1" spans="1:15">
      <c r="A200" s="374">
        <v>2080803</v>
      </c>
      <c r="B200" s="199" t="s">
        <v>264</v>
      </c>
      <c r="C200" s="375" t="e">
        <f>#REF!</f>
        <v>#REF!</v>
      </c>
      <c r="D200" s="120">
        <v>20</v>
      </c>
      <c r="E200" s="120">
        <v>18</v>
      </c>
      <c r="F200" s="120">
        <v>38</v>
      </c>
      <c r="G200" s="120">
        <v>-20</v>
      </c>
      <c r="H200" s="120">
        <v>0</v>
      </c>
      <c r="I200" s="120">
        <v>0</v>
      </c>
      <c r="J200" s="120">
        <f t="shared" si="24"/>
        <v>-18</v>
      </c>
      <c r="K200" s="120">
        <v>0</v>
      </c>
      <c r="L200" s="120"/>
      <c r="M200" s="120">
        <f t="shared" si="23"/>
        <v>0</v>
      </c>
      <c r="N200" s="380">
        <f t="shared" si="25"/>
        <v>-100</v>
      </c>
      <c r="O200" s="121" t="s">
        <v>265</v>
      </c>
    </row>
    <row r="201" s="109" customFormat="1" ht="30" customHeight="1" spans="1:15">
      <c r="A201" s="374">
        <v>2080805</v>
      </c>
      <c r="B201" s="199" t="s">
        <v>266</v>
      </c>
      <c r="C201" s="375" t="e">
        <f>#REF!+#REF!</f>
        <v>#REF!</v>
      </c>
      <c r="D201" s="120">
        <v>210</v>
      </c>
      <c r="E201" s="120">
        <v>0</v>
      </c>
      <c r="F201" s="120">
        <v>210</v>
      </c>
      <c r="G201" s="120">
        <f>-7.9296-153</f>
        <v>-160.9296</v>
      </c>
      <c r="H201" s="120">
        <v>0</v>
      </c>
      <c r="I201" s="120">
        <v>0</v>
      </c>
      <c r="J201" s="120">
        <f t="shared" si="24"/>
        <v>0</v>
      </c>
      <c r="K201" s="120">
        <f>202.0704-153</f>
        <v>49.0704</v>
      </c>
      <c r="L201" s="120"/>
      <c r="M201" s="120">
        <f t="shared" si="23"/>
        <v>49.0704</v>
      </c>
      <c r="N201" s="380">
        <f t="shared" si="25"/>
        <v>-76.6331428571429</v>
      </c>
      <c r="O201" s="121" t="s">
        <v>267</v>
      </c>
    </row>
    <row r="202" s="109" customFormat="1" ht="30" customHeight="1" spans="1:15">
      <c r="A202" s="374">
        <v>2080899</v>
      </c>
      <c r="B202" s="199" t="s">
        <v>268</v>
      </c>
      <c r="C202" s="375">
        <f>0</f>
        <v>0</v>
      </c>
      <c r="D202" s="120">
        <v>0</v>
      </c>
      <c r="E202" s="120">
        <v>1048.453</v>
      </c>
      <c r="F202" s="120">
        <v>1048.453</v>
      </c>
      <c r="G202" s="120">
        <v>0</v>
      </c>
      <c r="H202" s="120">
        <v>0</v>
      </c>
      <c r="I202" s="120">
        <v>0.4</v>
      </c>
      <c r="J202" s="120">
        <f t="shared" si="24"/>
        <v>-36.453</v>
      </c>
      <c r="K202" s="120">
        <v>0.4</v>
      </c>
      <c r="L202" s="120">
        <v>1012</v>
      </c>
      <c r="M202" s="120">
        <f t="shared" si="23"/>
        <v>1012.4</v>
      </c>
      <c r="N202" s="380">
        <f t="shared" si="25"/>
        <v>-3.43868537740843</v>
      </c>
      <c r="O202" s="121"/>
    </row>
    <row r="203" s="109" customFormat="1" ht="30" customHeight="1" spans="1:15">
      <c r="A203" s="374">
        <v>20809</v>
      </c>
      <c r="B203" s="199" t="s">
        <v>269</v>
      </c>
      <c r="C203" s="375" t="e">
        <f>C204+C205+C207+C208</f>
        <v>#REF!</v>
      </c>
      <c r="D203" s="120">
        <v>494.65</v>
      </c>
      <c r="E203" s="120">
        <v>202.1</v>
      </c>
      <c r="F203" s="120">
        <v>696.75</v>
      </c>
      <c r="G203" s="120">
        <v>-344.161524</v>
      </c>
      <c r="H203" s="120">
        <v>0</v>
      </c>
      <c r="I203" s="120">
        <v>0.09493</v>
      </c>
      <c r="J203" s="120">
        <f t="shared" si="24"/>
        <v>-76.1</v>
      </c>
      <c r="K203" s="120">
        <v>150.583406</v>
      </c>
      <c r="L203" s="120">
        <f>L204+L206+L207+L208</f>
        <v>126</v>
      </c>
      <c r="M203" s="120">
        <f t="shared" si="23"/>
        <v>276.583406</v>
      </c>
      <c r="N203" s="380">
        <f t="shared" si="25"/>
        <v>-60.303780983136</v>
      </c>
      <c r="O203" s="375"/>
    </row>
    <row r="204" s="109" customFormat="1" ht="30" customHeight="1" spans="1:15">
      <c r="A204" s="374">
        <v>2080901</v>
      </c>
      <c r="B204" s="199" t="s">
        <v>270</v>
      </c>
      <c r="C204" s="375" t="e">
        <f>SUM(#REF!)</f>
        <v>#REF!</v>
      </c>
      <c r="D204" s="120">
        <v>142.5</v>
      </c>
      <c r="E204" s="120">
        <v>80</v>
      </c>
      <c r="F204" s="120">
        <v>222.5</v>
      </c>
      <c r="G204" s="120">
        <v>-56.953924</v>
      </c>
      <c r="H204" s="120">
        <v>0</v>
      </c>
      <c r="I204" s="120">
        <v>0</v>
      </c>
      <c r="J204" s="120">
        <f t="shared" si="24"/>
        <v>0</v>
      </c>
      <c r="K204" s="120">
        <v>85.546076</v>
      </c>
      <c r="L204" s="120">
        <v>80</v>
      </c>
      <c r="M204" s="120">
        <f t="shared" si="23"/>
        <v>165.546076</v>
      </c>
      <c r="N204" s="380">
        <f t="shared" si="25"/>
        <v>-25.5972692134831</v>
      </c>
      <c r="O204" s="121" t="s">
        <v>271</v>
      </c>
    </row>
    <row r="205" s="109" customFormat="1" ht="30" customHeight="1" spans="1:15">
      <c r="A205" s="374">
        <v>2080903</v>
      </c>
      <c r="B205" s="199" t="s">
        <v>272</v>
      </c>
      <c r="C205" s="375" t="e">
        <f>#REF!</f>
        <v>#REF!</v>
      </c>
      <c r="D205" s="120">
        <v>0.9</v>
      </c>
      <c r="E205" s="120">
        <v>0</v>
      </c>
      <c r="F205" s="120">
        <v>0.9</v>
      </c>
      <c r="G205" s="120">
        <v>0</v>
      </c>
      <c r="H205" s="120">
        <v>0</v>
      </c>
      <c r="I205" s="120">
        <v>0</v>
      </c>
      <c r="J205" s="120">
        <f t="shared" si="24"/>
        <v>0</v>
      </c>
      <c r="K205" s="120">
        <v>0.9</v>
      </c>
      <c r="L205" s="120"/>
      <c r="M205" s="120">
        <f t="shared" si="23"/>
        <v>0.9</v>
      </c>
      <c r="N205" s="380">
        <f t="shared" si="25"/>
        <v>0</v>
      </c>
      <c r="O205" s="121"/>
    </row>
    <row r="206" s="109" customFormat="1" ht="30" customHeight="1" spans="1:15">
      <c r="A206" s="374">
        <v>2080904</v>
      </c>
      <c r="B206" s="199" t="s">
        <v>273</v>
      </c>
      <c r="C206" s="375"/>
      <c r="D206" s="120"/>
      <c r="E206" s="120"/>
      <c r="F206" s="120"/>
      <c r="G206" s="120"/>
      <c r="H206" s="120"/>
      <c r="I206" s="120"/>
      <c r="J206" s="120">
        <f t="shared" si="24"/>
        <v>7</v>
      </c>
      <c r="K206" s="120"/>
      <c r="L206" s="120">
        <v>7</v>
      </c>
      <c r="M206" s="120"/>
      <c r="N206" s="380"/>
      <c r="O206" s="121"/>
    </row>
    <row r="207" s="109" customFormat="1" ht="30" customHeight="1" spans="1:15">
      <c r="A207" s="374">
        <v>2080905</v>
      </c>
      <c r="B207" s="199" t="s">
        <v>274</v>
      </c>
      <c r="C207" s="375" t="e">
        <f>SUM(#REF!)</f>
        <v>#REF!</v>
      </c>
      <c r="D207" s="120">
        <v>89.25</v>
      </c>
      <c r="E207" s="120">
        <v>0</v>
      </c>
      <c r="F207" s="120">
        <v>89.25</v>
      </c>
      <c r="G207" s="120">
        <v>-25.2076</v>
      </c>
      <c r="H207" s="120">
        <v>0</v>
      </c>
      <c r="I207" s="120">
        <v>0.09493</v>
      </c>
      <c r="J207" s="120">
        <f t="shared" si="24"/>
        <v>2</v>
      </c>
      <c r="K207" s="120">
        <v>64.13733</v>
      </c>
      <c r="L207" s="120">
        <v>2</v>
      </c>
      <c r="M207" s="120">
        <f t="shared" ref="M207:M233" si="26">K207+L207</f>
        <v>66.13733</v>
      </c>
      <c r="N207" s="380">
        <f t="shared" si="25"/>
        <v>-25.8965490196078</v>
      </c>
      <c r="O207" s="121" t="s">
        <v>275</v>
      </c>
    </row>
    <row r="208" s="109" customFormat="1" ht="30" customHeight="1" spans="1:15">
      <c r="A208" s="374">
        <v>2080999</v>
      </c>
      <c r="B208" s="199" t="s">
        <v>276</v>
      </c>
      <c r="C208" s="375" t="e">
        <f>#REF!</f>
        <v>#REF!</v>
      </c>
      <c r="D208" s="120">
        <v>262</v>
      </c>
      <c r="E208" s="120">
        <v>115</v>
      </c>
      <c r="F208" s="120">
        <v>377</v>
      </c>
      <c r="G208" s="120">
        <v>-262</v>
      </c>
      <c r="H208" s="120">
        <v>0</v>
      </c>
      <c r="I208" s="120">
        <v>0</v>
      </c>
      <c r="J208" s="120">
        <f t="shared" si="24"/>
        <v>-78</v>
      </c>
      <c r="K208" s="120">
        <v>0</v>
      </c>
      <c r="L208" s="120">
        <v>37</v>
      </c>
      <c r="M208" s="120">
        <f t="shared" si="26"/>
        <v>37</v>
      </c>
      <c r="N208" s="380">
        <f t="shared" si="25"/>
        <v>-90.1856763925729</v>
      </c>
      <c r="O208" s="121" t="s">
        <v>277</v>
      </c>
    </row>
    <row r="209" s="109" customFormat="1" ht="30" customHeight="1" spans="1:15">
      <c r="A209" s="374">
        <v>20810</v>
      </c>
      <c r="B209" s="199" t="s">
        <v>278</v>
      </c>
      <c r="C209" s="375" t="e">
        <f>C210+C211+C212+C213</f>
        <v>#REF!</v>
      </c>
      <c r="D209" s="120">
        <v>701.64</v>
      </c>
      <c r="E209" s="120">
        <v>375.13</v>
      </c>
      <c r="F209" s="120">
        <v>1076.77</v>
      </c>
      <c r="G209" s="120">
        <v>-495.63706</v>
      </c>
      <c r="H209" s="120">
        <v>0</v>
      </c>
      <c r="I209" s="120">
        <v>1.10444</v>
      </c>
      <c r="J209" s="120">
        <f t="shared" si="24"/>
        <v>-182.13</v>
      </c>
      <c r="K209" s="120">
        <v>207.10738</v>
      </c>
      <c r="L209" s="120">
        <f>L210+L211+L212</f>
        <v>193</v>
      </c>
      <c r="M209" s="120">
        <f t="shared" si="26"/>
        <v>400.10738</v>
      </c>
      <c r="N209" s="380">
        <f t="shared" si="25"/>
        <v>-62.8418900972352</v>
      </c>
      <c r="O209" s="121"/>
    </row>
    <row r="210" s="109" customFormat="1" ht="30" customHeight="1" spans="1:15">
      <c r="A210" s="374">
        <v>2081001</v>
      </c>
      <c r="B210" s="199" t="s">
        <v>279</v>
      </c>
      <c r="C210" s="375" t="e">
        <f>SUM(#REF!)</f>
        <v>#REF!</v>
      </c>
      <c r="D210" s="120">
        <v>6</v>
      </c>
      <c r="E210" s="120">
        <v>17</v>
      </c>
      <c r="F210" s="120">
        <v>23</v>
      </c>
      <c r="G210" s="120">
        <v>-5</v>
      </c>
      <c r="H210" s="120">
        <v>0</v>
      </c>
      <c r="I210" s="120">
        <v>0</v>
      </c>
      <c r="J210" s="120">
        <f t="shared" si="24"/>
        <v>-2</v>
      </c>
      <c r="K210" s="120">
        <v>1</v>
      </c>
      <c r="L210" s="120">
        <v>15</v>
      </c>
      <c r="M210" s="120">
        <f t="shared" si="26"/>
        <v>16</v>
      </c>
      <c r="N210" s="380">
        <f t="shared" si="25"/>
        <v>-30.4347826086957</v>
      </c>
      <c r="O210" s="375"/>
    </row>
    <row r="211" s="109" customFormat="1" ht="30" customHeight="1" spans="1:15">
      <c r="A211" s="374">
        <v>2081002</v>
      </c>
      <c r="B211" s="199" t="s">
        <v>280</v>
      </c>
      <c r="C211" s="375" t="e">
        <f>SUM(#REF!)</f>
        <v>#REF!</v>
      </c>
      <c r="D211" s="120">
        <v>392</v>
      </c>
      <c r="E211" s="120">
        <v>118</v>
      </c>
      <c r="F211" s="120">
        <v>510</v>
      </c>
      <c r="G211" s="120">
        <v>-378.948</v>
      </c>
      <c r="H211" s="120">
        <v>0</v>
      </c>
      <c r="I211" s="120">
        <v>0</v>
      </c>
      <c r="J211" s="120">
        <f t="shared" si="24"/>
        <v>0</v>
      </c>
      <c r="K211" s="120">
        <v>13.052</v>
      </c>
      <c r="L211" s="120">
        <v>118</v>
      </c>
      <c r="M211" s="120">
        <f t="shared" si="26"/>
        <v>131.052</v>
      </c>
      <c r="N211" s="380">
        <f t="shared" si="25"/>
        <v>-74.3035294117647</v>
      </c>
      <c r="O211" s="375" t="s">
        <v>281</v>
      </c>
    </row>
    <row r="212" s="109" customFormat="1" ht="30" customHeight="1" spans="1:15">
      <c r="A212" s="374">
        <v>2081004</v>
      </c>
      <c r="B212" s="199" t="s">
        <v>282</v>
      </c>
      <c r="C212" s="375" t="e">
        <f>SUM(#REF!)</f>
        <v>#REF!</v>
      </c>
      <c r="D212" s="120">
        <v>230.86</v>
      </c>
      <c r="E212" s="120">
        <v>60.13</v>
      </c>
      <c r="F212" s="120">
        <v>290.99</v>
      </c>
      <c r="G212" s="120">
        <v>-92.3926</v>
      </c>
      <c r="H212" s="120">
        <v>0</v>
      </c>
      <c r="I212" s="120">
        <v>0</v>
      </c>
      <c r="J212" s="120">
        <f t="shared" si="24"/>
        <v>-0.130000000000003</v>
      </c>
      <c r="K212" s="120">
        <v>138.4674</v>
      </c>
      <c r="L212" s="120">
        <v>60</v>
      </c>
      <c r="M212" s="120">
        <f t="shared" si="26"/>
        <v>198.4674</v>
      </c>
      <c r="N212" s="380">
        <f t="shared" si="25"/>
        <v>-31.795800542974</v>
      </c>
      <c r="O212" s="121" t="s">
        <v>283</v>
      </c>
    </row>
    <row r="213" s="109" customFormat="1" ht="30" customHeight="1" spans="1:15">
      <c r="A213" s="374">
        <v>2081005</v>
      </c>
      <c r="B213" s="199" t="s">
        <v>284</v>
      </c>
      <c r="C213" s="375" t="e">
        <f>SUM(#REF!)</f>
        <v>#REF!</v>
      </c>
      <c r="D213" s="120">
        <v>72.78</v>
      </c>
      <c r="E213" s="120">
        <v>0</v>
      </c>
      <c r="F213" s="120">
        <v>72.78</v>
      </c>
      <c r="G213" s="120">
        <v>-19.29646</v>
      </c>
      <c r="H213" s="120">
        <v>0</v>
      </c>
      <c r="I213" s="120">
        <v>1.10444</v>
      </c>
      <c r="J213" s="120">
        <f t="shared" si="24"/>
        <v>0</v>
      </c>
      <c r="K213" s="120">
        <v>54.58798</v>
      </c>
      <c r="L213" s="120"/>
      <c r="M213" s="120">
        <f t="shared" si="26"/>
        <v>54.58798</v>
      </c>
      <c r="N213" s="380">
        <f t="shared" si="25"/>
        <v>-24.9959054685353</v>
      </c>
      <c r="O213" s="121" t="s">
        <v>101</v>
      </c>
    </row>
    <row r="214" s="109" customFormat="1" ht="30" customHeight="1" spans="1:15">
      <c r="A214" s="374">
        <v>20811</v>
      </c>
      <c r="B214" s="199" t="s">
        <v>285</v>
      </c>
      <c r="C214" s="375" t="e">
        <f>C215+C216+C217+C218+C219</f>
        <v>#REF!</v>
      </c>
      <c r="D214" s="120">
        <v>786.73</v>
      </c>
      <c r="E214" s="120">
        <v>879.7376</v>
      </c>
      <c r="F214" s="120">
        <v>1666.4676</v>
      </c>
      <c r="G214" s="120">
        <v>-164.180317</v>
      </c>
      <c r="H214" s="120">
        <v>28</v>
      </c>
      <c r="I214" s="120">
        <v>16.887702</v>
      </c>
      <c r="J214" s="120">
        <f t="shared" si="24"/>
        <v>-192.7376</v>
      </c>
      <c r="K214" s="120">
        <v>667.437385</v>
      </c>
      <c r="L214" s="120">
        <f>L215+L216+L217+L218+L219</f>
        <v>687</v>
      </c>
      <c r="M214" s="120">
        <f t="shared" si="26"/>
        <v>1354.437385</v>
      </c>
      <c r="N214" s="380">
        <f t="shared" si="25"/>
        <v>-18.7240493004484</v>
      </c>
      <c r="O214" s="121"/>
    </row>
    <row r="215" s="109" customFormat="1" ht="30" customHeight="1" spans="1:15">
      <c r="A215" s="374">
        <v>2081101</v>
      </c>
      <c r="B215" s="199" t="s">
        <v>73</v>
      </c>
      <c r="C215" s="375" t="e">
        <f>SUM(#REF!)</f>
        <v>#REF!</v>
      </c>
      <c r="D215" s="120">
        <v>202.57</v>
      </c>
      <c r="E215" s="120">
        <v>0</v>
      </c>
      <c r="F215" s="120">
        <v>202.57</v>
      </c>
      <c r="G215" s="120">
        <v>-0.5949</v>
      </c>
      <c r="H215" s="120">
        <v>0</v>
      </c>
      <c r="I215" s="120">
        <v>16.887702</v>
      </c>
      <c r="J215" s="120">
        <f t="shared" si="24"/>
        <v>0</v>
      </c>
      <c r="K215" s="120">
        <v>218.862802</v>
      </c>
      <c r="L215" s="120"/>
      <c r="M215" s="120">
        <f t="shared" si="26"/>
        <v>218.862802</v>
      </c>
      <c r="N215" s="380">
        <f t="shared" si="25"/>
        <v>8.04304783531618</v>
      </c>
      <c r="O215" s="121" t="s">
        <v>101</v>
      </c>
    </row>
    <row r="216" s="109" customFormat="1" ht="30" customHeight="1" spans="1:15">
      <c r="A216" s="374">
        <v>2081104</v>
      </c>
      <c r="B216" s="199" t="s">
        <v>286</v>
      </c>
      <c r="C216" s="375" t="e">
        <f>#REF!</f>
        <v>#REF!</v>
      </c>
      <c r="D216" s="120">
        <v>5</v>
      </c>
      <c r="E216" s="120">
        <v>1</v>
      </c>
      <c r="F216" s="120">
        <v>6</v>
      </c>
      <c r="G216" s="120">
        <v>0</v>
      </c>
      <c r="H216" s="120">
        <v>0</v>
      </c>
      <c r="I216" s="120">
        <v>0</v>
      </c>
      <c r="J216" s="120">
        <f t="shared" si="24"/>
        <v>0</v>
      </c>
      <c r="K216" s="120">
        <v>5</v>
      </c>
      <c r="L216" s="120">
        <v>1</v>
      </c>
      <c r="M216" s="120">
        <f t="shared" si="26"/>
        <v>6</v>
      </c>
      <c r="N216" s="380">
        <f t="shared" si="25"/>
        <v>0</v>
      </c>
      <c r="O216" s="121"/>
    </row>
    <row r="217" s="109" customFormat="1" ht="30" customHeight="1" spans="1:15">
      <c r="A217" s="374">
        <v>2081105</v>
      </c>
      <c r="B217" s="199" t="s">
        <v>287</v>
      </c>
      <c r="C217" s="375" t="e">
        <f>#REF!</f>
        <v>#REF!</v>
      </c>
      <c r="D217" s="120">
        <v>19</v>
      </c>
      <c r="E217" s="120">
        <v>41</v>
      </c>
      <c r="F217" s="120">
        <v>60</v>
      </c>
      <c r="G217" s="120">
        <v>-1.02</v>
      </c>
      <c r="H217" s="120">
        <v>0</v>
      </c>
      <c r="I217" s="120">
        <v>0</v>
      </c>
      <c r="J217" s="120">
        <f t="shared" si="24"/>
        <v>-2</v>
      </c>
      <c r="K217" s="120">
        <v>17.98</v>
      </c>
      <c r="L217" s="120">
        <v>39</v>
      </c>
      <c r="M217" s="120">
        <f t="shared" si="26"/>
        <v>56.98</v>
      </c>
      <c r="N217" s="380">
        <f t="shared" si="25"/>
        <v>-5.03333333333333</v>
      </c>
      <c r="O217" s="121"/>
    </row>
    <row r="218" s="109" customFormat="1" ht="30" customHeight="1" spans="1:15">
      <c r="A218" s="374">
        <v>2081107</v>
      </c>
      <c r="B218" s="199" t="s">
        <v>288</v>
      </c>
      <c r="C218" s="375" t="e">
        <f>#REF!</f>
        <v>#REF!</v>
      </c>
      <c r="D218" s="120">
        <v>346</v>
      </c>
      <c r="E218" s="120">
        <v>625.4626</v>
      </c>
      <c r="F218" s="120">
        <v>971.4626</v>
      </c>
      <c r="G218" s="120">
        <v>-113.980825</v>
      </c>
      <c r="H218" s="120">
        <v>0</v>
      </c>
      <c r="I218" s="120">
        <v>0</v>
      </c>
      <c r="J218" s="120">
        <f t="shared" si="24"/>
        <v>-0.462599999999952</v>
      </c>
      <c r="K218" s="120">
        <v>232.019175</v>
      </c>
      <c r="L218" s="120">
        <v>625</v>
      </c>
      <c r="M218" s="120">
        <f t="shared" si="26"/>
        <v>857.019175</v>
      </c>
      <c r="N218" s="380">
        <f t="shared" si="25"/>
        <v>-11.7805281438524</v>
      </c>
      <c r="O218" s="121" t="s">
        <v>289</v>
      </c>
    </row>
    <row r="219" s="109" customFormat="1" ht="30" customHeight="1" spans="1:15">
      <c r="A219" s="374">
        <v>2081199</v>
      </c>
      <c r="B219" s="199" t="s">
        <v>290</v>
      </c>
      <c r="C219" s="375" t="e">
        <f>SUM(#REF!)</f>
        <v>#REF!</v>
      </c>
      <c r="D219" s="120">
        <v>214.16</v>
      </c>
      <c r="E219" s="120">
        <v>212.275</v>
      </c>
      <c r="F219" s="120">
        <v>426.435</v>
      </c>
      <c r="G219" s="120">
        <v>-48.584592</v>
      </c>
      <c r="H219" s="120">
        <v>28</v>
      </c>
      <c r="I219" s="120">
        <v>0</v>
      </c>
      <c r="J219" s="120">
        <f t="shared" si="24"/>
        <v>-190.275</v>
      </c>
      <c r="K219" s="120">
        <v>193.575408</v>
      </c>
      <c r="L219" s="120">
        <v>22</v>
      </c>
      <c r="M219" s="120">
        <f t="shared" si="26"/>
        <v>215.575408</v>
      </c>
      <c r="N219" s="380">
        <f t="shared" si="25"/>
        <v>-49.447065086121</v>
      </c>
      <c r="O219" s="121" t="s">
        <v>291</v>
      </c>
    </row>
    <row r="220" s="109" customFormat="1" ht="30" customHeight="1" spans="1:15">
      <c r="A220" s="374">
        <v>20816</v>
      </c>
      <c r="B220" s="199" t="s">
        <v>292</v>
      </c>
      <c r="C220" s="375" t="e">
        <f>C221+C222</f>
        <v>#REF!</v>
      </c>
      <c r="D220" s="120">
        <v>48.97</v>
      </c>
      <c r="E220" s="120">
        <v>0</v>
      </c>
      <c r="F220" s="120">
        <v>48.97</v>
      </c>
      <c r="G220" s="120">
        <v>-17.44879</v>
      </c>
      <c r="H220" s="120">
        <v>0</v>
      </c>
      <c r="I220" s="120">
        <v>15.406498</v>
      </c>
      <c r="J220" s="120">
        <f t="shared" si="24"/>
        <v>0</v>
      </c>
      <c r="K220" s="120">
        <v>46.927708</v>
      </c>
      <c r="L220" s="120"/>
      <c r="M220" s="120">
        <f t="shared" si="26"/>
        <v>46.927708</v>
      </c>
      <c r="N220" s="380">
        <f t="shared" si="25"/>
        <v>-4.17049622217684</v>
      </c>
      <c r="O220" s="121"/>
    </row>
    <row r="221" s="109" customFormat="1" ht="30" customHeight="1" spans="1:15">
      <c r="A221" s="374">
        <v>2081601</v>
      </c>
      <c r="B221" s="199" t="s">
        <v>73</v>
      </c>
      <c r="C221" s="375" t="e">
        <f>SUM(#REF!)</f>
        <v>#REF!</v>
      </c>
      <c r="D221" s="120">
        <v>23.97</v>
      </c>
      <c r="E221" s="120">
        <v>0</v>
      </c>
      <c r="F221" s="120">
        <v>23.97</v>
      </c>
      <c r="G221" s="120">
        <v>-5.44879</v>
      </c>
      <c r="H221" s="120">
        <v>0</v>
      </c>
      <c r="I221" s="120">
        <v>15.406498</v>
      </c>
      <c r="J221" s="120">
        <f t="shared" si="24"/>
        <v>0</v>
      </c>
      <c r="K221" s="120">
        <v>33.927708</v>
      </c>
      <c r="L221" s="120"/>
      <c r="M221" s="120">
        <f t="shared" si="26"/>
        <v>33.927708</v>
      </c>
      <c r="N221" s="380">
        <f t="shared" si="25"/>
        <v>41.5423779724656</v>
      </c>
      <c r="O221" s="121" t="s">
        <v>74</v>
      </c>
    </row>
    <row r="222" s="109" customFormat="1" ht="30" customHeight="1" spans="1:15">
      <c r="A222" s="374">
        <v>2081699</v>
      </c>
      <c r="B222" s="199" t="s">
        <v>293</v>
      </c>
      <c r="C222" s="375" t="e">
        <f>SUM(#REF!)</f>
        <v>#REF!</v>
      </c>
      <c r="D222" s="120">
        <v>25</v>
      </c>
      <c r="E222" s="120">
        <v>0</v>
      </c>
      <c r="F222" s="120">
        <v>25</v>
      </c>
      <c r="G222" s="120">
        <v>-12</v>
      </c>
      <c r="H222" s="120">
        <v>0</v>
      </c>
      <c r="I222" s="120">
        <v>0</v>
      </c>
      <c r="J222" s="120">
        <f t="shared" si="24"/>
        <v>0</v>
      </c>
      <c r="K222" s="120">
        <v>13</v>
      </c>
      <c r="L222" s="120"/>
      <c r="M222" s="120">
        <f t="shared" si="26"/>
        <v>13</v>
      </c>
      <c r="N222" s="380">
        <f t="shared" si="25"/>
        <v>-48</v>
      </c>
      <c r="O222" s="121"/>
    </row>
    <row r="223" s="109" customFormat="1" ht="30" customHeight="1" spans="1:15">
      <c r="A223" s="374">
        <v>20819</v>
      </c>
      <c r="B223" s="199" t="s">
        <v>294</v>
      </c>
      <c r="C223" s="375" t="e">
        <f>C224+C225</f>
        <v>#REF!</v>
      </c>
      <c r="D223" s="120">
        <v>1080</v>
      </c>
      <c r="E223" s="120">
        <v>2419.125</v>
      </c>
      <c r="F223" s="120">
        <v>3499.125</v>
      </c>
      <c r="G223" s="120">
        <v>-201.637313</v>
      </c>
      <c r="H223" s="120">
        <v>0</v>
      </c>
      <c r="I223" s="120">
        <v>0</v>
      </c>
      <c r="J223" s="120">
        <f t="shared" si="24"/>
        <v>185.875</v>
      </c>
      <c r="K223" s="120">
        <v>878.362687</v>
      </c>
      <c r="L223" s="120">
        <f>L224+L225</f>
        <v>2605</v>
      </c>
      <c r="M223" s="120">
        <f t="shared" si="26"/>
        <v>3483.362687</v>
      </c>
      <c r="N223" s="380">
        <f t="shared" si="25"/>
        <v>-0.450464416104031</v>
      </c>
      <c r="O223" s="375"/>
    </row>
    <row r="224" s="109" customFormat="1" ht="30" customHeight="1" spans="1:15">
      <c r="A224" s="374">
        <v>2081901</v>
      </c>
      <c r="B224" s="199" t="s">
        <v>295</v>
      </c>
      <c r="C224" s="375" t="e">
        <f>#REF!</f>
        <v>#REF!</v>
      </c>
      <c r="D224" s="120">
        <v>330</v>
      </c>
      <c r="E224" s="120">
        <v>1036.125</v>
      </c>
      <c r="F224" s="120">
        <v>1366.125</v>
      </c>
      <c r="G224" s="120">
        <v>-41.486913</v>
      </c>
      <c r="H224" s="120">
        <v>0</v>
      </c>
      <c r="I224" s="120">
        <v>0</v>
      </c>
      <c r="J224" s="120">
        <f t="shared" si="24"/>
        <v>45.875</v>
      </c>
      <c r="K224" s="120">
        <v>288.513087</v>
      </c>
      <c r="L224" s="120">
        <v>1082</v>
      </c>
      <c r="M224" s="120">
        <f t="shared" si="26"/>
        <v>1370.513087</v>
      </c>
      <c r="N224" s="380">
        <f t="shared" si="25"/>
        <v>0.321206844176048</v>
      </c>
      <c r="O224" s="121" t="s">
        <v>296</v>
      </c>
    </row>
    <row r="225" s="109" customFormat="1" ht="30" customHeight="1" spans="1:15">
      <c r="A225" s="374">
        <v>2081902</v>
      </c>
      <c r="B225" s="199" t="s">
        <v>297</v>
      </c>
      <c r="C225" s="375" t="e">
        <f>#REF!</f>
        <v>#REF!</v>
      </c>
      <c r="D225" s="120">
        <v>750</v>
      </c>
      <c r="E225" s="120">
        <v>1383</v>
      </c>
      <c r="F225" s="120">
        <v>2133</v>
      </c>
      <c r="G225" s="120">
        <v>-160.1504</v>
      </c>
      <c r="H225" s="120">
        <v>0</v>
      </c>
      <c r="I225" s="120">
        <v>0</v>
      </c>
      <c r="J225" s="120">
        <f t="shared" si="24"/>
        <v>140</v>
      </c>
      <c r="K225" s="120">
        <v>589.8496</v>
      </c>
      <c r="L225" s="120">
        <v>1523</v>
      </c>
      <c r="M225" s="120">
        <f t="shared" si="26"/>
        <v>2112.8496</v>
      </c>
      <c r="N225" s="380">
        <f t="shared" si="25"/>
        <v>-0.944697609001406</v>
      </c>
      <c r="O225" s="121" t="s">
        <v>298</v>
      </c>
    </row>
    <row r="226" s="109" customFormat="1" ht="30" customHeight="1" spans="1:15">
      <c r="A226" s="374">
        <v>20820</v>
      </c>
      <c r="B226" s="199" t="s">
        <v>299</v>
      </c>
      <c r="C226" s="375" t="e">
        <f>C227+C228</f>
        <v>#REF!</v>
      </c>
      <c r="D226" s="120">
        <v>17</v>
      </c>
      <c r="E226" s="120">
        <v>0</v>
      </c>
      <c r="F226" s="120">
        <v>17</v>
      </c>
      <c r="G226" s="120">
        <v>-3.2824</v>
      </c>
      <c r="H226" s="120">
        <v>0</v>
      </c>
      <c r="I226" s="120">
        <v>0</v>
      </c>
      <c r="J226" s="120">
        <f t="shared" si="24"/>
        <v>0</v>
      </c>
      <c r="K226" s="120">
        <v>13.7176</v>
      </c>
      <c r="L226" s="120"/>
      <c r="M226" s="120">
        <f t="shared" si="26"/>
        <v>13.7176</v>
      </c>
      <c r="N226" s="380">
        <f t="shared" si="25"/>
        <v>-19.3082352941177</v>
      </c>
      <c r="O226" s="121"/>
    </row>
    <row r="227" s="109" customFormat="1" ht="30" customHeight="1" spans="1:15">
      <c r="A227" s="374">
        <v>2082001</v>
      </c>
      <c r="B227" s="199" t="s">
        <v>300</v>
      </c>
      <c r="C227" s="375" t="e">
        <f>SUM(#REF!)</f>
        <v>#REF!</v>
      </c>
      <c r="D227" s="120">
        <v>15</v>
      </c>
      <c r="E227" s="120">
        <v>0</v>
      </c>
      <c r="F227" s="120">
        <v>15</v>
      </c>
      <c r="G227" s="120">
        <v>-1.2824</v>
      </c>
      <c r="H227" s="120">
        <v>0</v>
      </c>
      <c r="I227" s="120">
        <v>0</v>
      </c>
      <c r="J227" s="120">
        <f t="shared" si="24"/>
        <v>0</v>
      </c>
      <c r="K227" s="120">
        <v>13.7176</v>
      </c>
      <c r="L227" s="120"/>
      <c r="M227" s="120">
        <f t="shared" si="26"/>
        <v>13.7176</v>
      </c>
      <c r="N227" s="380">
        <f t="shared" si="25"/>
        <v>-8.54933333333334</v>
      </c>
      <c r="O227" s="121" t="s">
        <v>301</v>
      </c>
    </row>
    <row r="228" s="109" customFormat="1" ht="30" customHeight="1" spans="1:15">
      <c r="A228" s="374">
        <v>2082002</v>
      </c>
      <c r="B228" s="199" t="s">
        <v>302</v>
      </c>
      <c r="C228" s="375" t="e">
        <f>#REF!</f>
        <v>#REF!</v>
      </c>
      <c r="D228" s="120">
        <v>2</v>
      </c>
      <c r="E228" s="120">
        <v>0</v>
      </c>
      <c r="F228" s="120">
        <v>2</v>
      </c>
      <c r="G228" s="120">
        <v>-2</v>
      </c>
      <c r="H228" s="120">
        <v>0</v>
      </c>
      <c r="I228" s="120">
        <v>0</v>
      </c>
      <c r="J228" s="120">
        <f t="shared" si="24"/>
        <v>0</v>
      </c>
      <c r="K228" s="120">
        <v>0</v>
      </c>
      <c r="L228" s="120"/>
      <c r="M228" s="120">
        <f t="shared" si="26"/>
        <v>0</v>
      </c>
      <c r="N228" s="380">
        <f t="shared" si="25"/>
        <v>-100</v>
      </c>
      <c r="O228" s="121" t="s">
        <v>303</v>
      </c>
    </row>
    <row r="229" s="109" customFormat="1" ht="30" customHeight="1" spans="1:15">
      <c r="A229" s="374">
        <v>20821</v>
      </c>
      <c r="B229" s="199" t="s">
        <v>304</v>
      </c>
      <c r="C229" s="375" t="e">
        <f>C230+C231</f>
        <v>#REF!</v>
      </c>
      <c r="D229" s="120">
        <v>40</v>
      </c>
      <c r="E229" s="120">
        <v>394</v>
      </c>
      <c r="F229" s="120">
        <v>434</v>
      </c>
      <c r="G229" s="120">
        <v>-4.767</v>
      </c>
      <c r="H229" s="120">
        <v>0</v>
      </c>
      <c r="I229" s="120">
        <v>0</v>
      </c>
      <c r="J229" s="120">
        <f t="shared" si="24"/>
        <v>0</v>
      </c>
      <c r="K229" s="120">
        <v>35.233</v>
      </c>
      <c r="L229" s="120">
        <f>L230+L231</f>
        <v>394</v>
      </c>
      <c r="M229" s="120">
        <f t="shared" si="26"/>
        <v>429.233</v>
      </c>
      <c r="N229" s="380">
        <f t="shared" si="25"/>
        <v>-1.09838709677419</v>
      </c>
      <c r="O229" s="121"/>
    </row>
    <row r="230" s="109" customFormat="1" ht="30" customHeight="1" spans="1:15">
      <c r="A230" s="374">
        <v>2082101</v>
      </c>
      <c r="B230" s="199" t="s">
        <v>305</v>
      </c>
      <c r="C230" s="375" t="e">
        <f>#REF!</f>
        <v>#REF!</v>
      </c>
      <c r="D230" s="120">
        <v>5</v>
      </c>
      <c r="E230" s="120">
        <v>41</v>
      </c>
      <c r="F230" s="120">
        <v>46</v>
      </c>
      <c r="G230" s="120">
        <v>0</v>
      </c>
      <c r="H230" s="120">
        <v>0</v>
      </c>
      <c r="I230" s="120">
        <v>0</v>
      </c>
      <c r="J230" s="120">
        <f t="shared" si="24"/>
        <v>0</v>
      </c>
      <c r="K230" s="120">
        <v>5</v>
      </c>
      <c r="L230" s="120">
        <v>41</v>
      </c>
      <c r="M230" s="120">
        <f t="shared" si="26"/>
        <v>46</v>
      </c>
      <c r="N230" s="380">
        <f t="shared" si="25"/>
        <v>0</v>
      </c>
      <c r="O230" s="121"/>
    </row>
    <row r="231" s="109" customFormat="1" ht="30" customHeight="1" spans="1:15">
      <c r="A231" s="374">
        <v>2082102</v>
      </c>
      <c r="B231" s="199" t="s">
        <v>306</v>
      </c>
      <c r="C231" s="375" t="e">
        <f>#REF!</f>
        <v>#REF!</v>
      </c>
      <c r="D231" s="120">
        <v>35</v>
      </c>
      <c r="E231" s="120">
        <v>353</v>
      </c>
      <c r="F231" s="120">
        <v>388</v>
      </c>
      <c r="G231" s="120">
        <v>-4.767</v>
      </c>
      <c r="H231" s="120">
        <v>0</v>
      </c>
      <c r="I231" s="120">
        <v>0</v>
      </c>
      <c r="J231" s="120">
        <f t="shared" si="24"/>
        <v>0</v>
      </c>
      <c r="K231" s="120">
        <v>30.233</v>
      </c>
      <c r="L231" s="120">
        <v>353</v>
      </c>
      <c r="M231" s="120">
        <f t="shared" si="26"/>
        <v>383.233</v>
      </c>
      <c r="N231" s="380">
        <f t="shared" si="25"/>
        <v>-1.22860824742268</v>
      </c>
      <c r="O231" s="121" t="s">
        <v>307</v>
      </c>
    </row>
    <row r="232" s="109" customFormat="1" ht="30" customHeight="1" spans="1:15">
      <c r="A232" s="374">
        <v>20825</v>
      </c>
      <c r="B232" s="199" t="s">
        <v>308</v>
      </c>
      <c r="C232" s="375" t="e">
        <f>C233</f>
        <v>#REF!</v>
      </c>
      <c r="D232" s="120">
        <v>0.5</v>
      </c>
      <c r="E232" s="120">
        <v>0</v>
      </c>
      <c r="F232" s="120">
        <v>0.5</v>
      </c>
      <c r="G232" s="120">
        <v>-0.032</v>
      </c>
      <c r="H232" s="120">
        <v>0</v>
      </c>
      <c r="I232" s="120">
        <v>0</v>
      </c>
      <c r="J232" s="120">
        <f t="shared" si="24"/>
        <v>28</v>
      </c>
      <c r="K232" s="120">
        <v>0.468</v>
      </c>
      <c r="L232" s="120">
        <f>L233+L234</f>
        <v>28</v>
      </c>
      <c r="M232" s="120">
        <f t="shared" si="26"/>
        <v>28.468</v>
      </c>
      <c r="N232" s="380">
        <f t="shared" si="25"/>
        <v>5593.6</v>
      </c>
      <c r="O232" s="121"/>
    </row>
    <row r="233" s="109" customFormat="1" ht="30" customHeight="1" spans="1:15">
      <c r="A233" s="374">
        <v>2082501</v>
      </c>
      <c r="B233" s="199" t="s">
        <v>309</v>
      </c>
      <c r="C233" s="375" t="e">
        <f>#REF!</f>
        <v>#REF!</v>
      </c>
      <c r="D233" s="120">
        <v>0.5</v>
      </c>
      <c r="E233" s="120">
        <v>0</v>
      </c>
      <c r="F233" s="120">
        <v>0.5</v>
      </c>
      <c r="G233" s="120">
        <v>-0.032</v>
      </c>
      <c r="H233" s="120">
        <v>0</v>
      </c>
      <c r="I233" s="120">
        <v>0</v>
      </c>
      <c r="J233" s="120">
        <f t="shared" si="24"/>
        <v>11</v>
      </c>
      <c r="K233" s="120">
        <v>0.468</v>
      </c>
      <c r="L233" s="120">
        <v>11</v>
      </c>
      <c r="M233" s="120">
        <f t="shared" si="26"/>
        <v>11.468</v>
      </c>
      <c r="N233" s="380">
        <f t="shared" si="25"/>
        <v>2193.6</v>
      </c>
      <c r="O233" s="121"/>
    </row>
    <row r="234" s="109" customFormat="1" ht="30" customHeight="1" spans="1:15">
      <c r="A234" s="374">
        <v>2082502</v>
      </c>
      <c r="B234" s="199" t="s">
        <v>310</v>
      </c>
      <c r="C234" s="375"/>
      <c r="D234" s="120"/>
      <c r="E234" s="120"/>
      <c r="F234" s="120"/>
      <c r="G234" s="120"/>
      <c r="H234" s="120"/>
      <c r="I234" s="120"/>
      <c r="J234" s="120">
        <f t="shared" si="24"/>
        <v>17</v>
      </c>
      <c r="K234" s="120"/>
      <c r="L234" s="120">
        <v>17</v>
      </c>
      <c r="M234" s="120"/>
      <c r="N234" s="380"/>
      <c r="O234" s="121"/>
    </row>
    <row r="235" s="109" customFormat="1" ht="30" customHeight="1" spans="1:15">
      <c r="A235" s="374">
        <v>20826</v>
      </c>
      <c r="B235" s="199" t="s">
        <v>311</v>
      </c>
      <c r="C235" s="375" t="e">
        <f>C236+C237</f>
        <v>#REF!</v>
      </c>
      <c r="D235" s="120">
        <v>1108.64</v>
      </c>
      <c r="E235" s="120">
        <v>8340.86</v>
      </c>
      <c r="F235" s="120">
        <v>9449.5</v>
      </c>
      <c r="G235" s="120">
        <v>-80.52</v>
      </c>
      <c r="H235" s="120">
        <v>0</v>
      </c>
      <c r="I235" s="120">
        <v>-27</v>
      </c>
      <c r="J235" s="120">
        <f t="shared" si="24"/>
        <v>127.139999999999</v>
      </c>
      <c r="K235" s="120">
        <v>1001.12</v>
      </c>
      <c r="L235" s="120">
        <f>L236</f>
        <v>8468</v>
      </c>
      <c r="M235" s="120">
        <f t="shared" ref="M235:M255" si="27">K235+L235</f>
        <v>9469.12</v>
      </c>
      <c r="N235" s="380">
        <f t="shared" si="25"/>
        <v>0.207630033335106</v>
      </c>
      <c r="O235" s="375"/>
    </row>
    <row r="236" s="109" customFormat="1" ht="30" customHeight="1" spans="1:15">
      <c r="A236" s="374">
        <v>2082602</v>
      </c>
      <c r="B236" s="199" t="s">
        <v>312</v>
      </c>
      <c r="C236" s="375" t="e">
        <f>SUM(#REF!)</f>
        <v>#REF!</v>
      </c>
      <c r="D236" s="120">
        <v>1100</v>
      </c>
      <c r="E236" s="120">
        <v>8271</v>
      </c>
      <c r="F236" s="120">
        <v>9371</v>
      </c>
      <c r="G236" s="120">
        <v>-78</v>
      </c>
      <c r="H236" s="120">
        <v>0</v>
      </c>
      <c r="I236" s="120">
        <v>-27</v>
      </c>
      <c r="J236" s="120">
        <f t="shared" si="24"/>
        <v>197</v>
      </c>
      <c r="K236" s="120">
        <v>995</v>
      </c>
      <c r="L236" s="120">
        <v>8468</v>
      </c>
      <c r="M236" s="120">
        <f t="shared" si="27"/>
        <v>9463</v>
      </c>
      <c r="N236" s="380">
        <f t="shared" si="25"/>
        <v>0.981752214278092</v>
      </c>
      <c r="O236" s="121" t="s">
        <v>313</v>
      </c>
    </row>
    <row r="237" s="109" customFormat="1" ht="30" customHeight="1" spans="1:15">
      <c r="A237" s="374">
        <v>2082699</v>
      </c>
      <c r="B237" s="199" t="s">
        <v>314</v>
      </c>
      <c r="C237" s="375" t="e">
        <f>#REF!</f>
        <v>#REF!</v>
      </c>
      <c r="D237" s="120">
        <v>8.64</v>
      </c>
      <c r="E237" s="120">
        <v>0</v>
      </c>
      <c r="F237" s="120">
        <v>8.64</v>
      </c>
      <c r="G237" s="120">
        <v>-2.52</v>
      </c>
      <c r="H237" s="120">
        <v>0</v>
      </c>
      <c r="I237" s="120">
        <v>0</v>
      </c>
      <c r="J237" s="120">
        <f t="shared" si="24"/>
        <v>0</v>
      </c>
      <c r="K237" s="120">
        <v>6.12</v>
      </c>
      <c r="L237" s="120"/>
      <c r="M237" s="120">
        <f t="shared" si="27"/>
        <v>6.12</v>
      </c>
      <c r="N237" s="380">
        <f t="shared" si="25"/>
        <v>-29.1666666666667</v>
      </c>
      <c r="O237" s="121"/>
    </row>
    <row r="238" s="109" customFormat="1" ht="30" customHeight="1" spans="1:15">
      <c r="A238" s="374">
        <v>20828</v>
      </c>
      <c r="B238" s="199" t="s">
        <v>315</v>
      </c>
      <c r="C238" s="375" t="e">
        <f>C239+C240+C241+C242+C243</f>
        <v>#REF!</v>
      </c>
      <c r="D238" s="120">
        <v>863.1</v>
      </c>
      <c r="E238" s="120">
        <v>170.36</v>
      </c>
      <c r="F238" s="120">
        <v>1033.46</v>
      </c>
      <c r="G238" s="120">
        <v>-310.9273</v>
      </c>
      <c r="H238" s="120">
        <v>0</v>
      </c>
      <c r="I238" s="120">
        <v>19.9564</v>
      </c>
      <c r="J238" s="120">
        <f t="shared" si="24"/>
        <v>-81.36</v>
      </c>
      <c r="K238" s="120">
        <v>572.1291</v>
      </c>
      <c r="L238" s="120">
        <f>L243</f>
        <v>89</v>
      </c>
      <c r="M238" s="120">
        <f t="shared" si="27"/>
        <v>661.1291</v>
      </c>
      <c r="N238" s="380">
        <f t="shared" si="25"/>
        <v>-36.0276062934221</v>
      </c>
      <c r="O238" s="121"/>
    </row>
    <row r="239" s="109" customFormat="1" ht="30" customHeight="1" spans="1:15">
      <c r="A239" s="374">
        <v>2082801</v>
      </c>
      <c r="B239" s="199" t="s">
        <v>73</v>
      </c>
      <c r="C239" s="375" t="e">
        <f>SUM(#REF!)</f>
        <v>#REF!</v>
      </c>
      <c r="D239" s="120">
        <v>232.42</v>
      </c>
      <c r="E239" s="120">
        <v>0</v>
      </c>
      <c r="F239" s="120">
        <v>232.42</v>
      </c>
      <c r="G239" s="120">
        <v>-3.2188</v>
      </c>
      <c r="H239" s="120">
        <v>0</v>
      </c>
      <c r="I239" s="120">
        <v>0.8202</v>
      </c>
      <c r="J239" s="120">
        <f t="shared" si="24"/>
        <v>0</v>
      </c>
      <c r="K239" s="120">
        <v>230.0214</v>
      </c>
      <c r="L239" s="120"/>
      <c r="M239" s="120">
        <f t="shared" si="27"/>
        <v>230.0214</v>
      </c>
      <c r="N239" s="380">
        <f t="shared" si="25"/>
        <v>-1.03201101454263</v>
      </c>
      <c r="O239" s="121" t="s">
        <v>74</v>
      </c>
    </row>
    <row r="240" s="109" customFormat="1" ht="30" customHeight="1" spans="1:15">
      <c r="A240" s="374">
        <v>2082802</v>
      </c>
      <c r="B240" s="199" t="s">
        <v>89</v>
      </c>
      <c r="C240" s="375" t="e">
        <f>SUM(#REF!)</f>
        <v>#REF!</v>
      </c>
      <c r="D240" s="120">
        <v>68</v>
      </c>
      <c r="E240" s="120">
        <v>0</v>
      </c>
      <c r="F240" s="120">
        <v>68</v>
      </c>
      <c r="G240" s="120">
        <v>0</v>
      </c>
      <c r="H240" s="120">
        <v>0</v>
      </c>
      <c r="I240" s="120">
        <v>0</v>
      </c>
      <c r="J240" s="120">
        <f t="shared" si="24"/>
        <v>0</v>
      </c>
      <c r="K240" s="120">
        <v>68</v>
      </c>
      <c r="L240" s="120"/>
      <c r="M240" s="120">
        <f t="shared" si="27"/>
        <v>68</v>
      </c>
      <c r="N240" s="380">
        <f t="shared" si="25"/>
        <v>0</v>
      </c>
      <c r="O240" s="121"/>
    </row>
    <row r="241" s="109" customFormat="1" ht="30" customHeight="1" spans="1:15">
      <c r="A241" s="374">
        <v>2082804</v>
      </c>
      <c r="B241" s="199" t="s">
        <v>316</v>
      </c>
      <c r="C241" s="375" t="e">
        <f>SUM(#REF!)</f>
        <v>#REF!</v>
      </c>
      <c r="D241" s="120">
        <v>495.76</v>
      </c>
      <c r="E241" s="120">
        <v>0.36</v>
      </c>
      <c r="F241" s="120">
        <v>496.12</v>
      </c>
      <c r="G241" s="120">
        <v>-305.13</v>
      </c>
      <c r="H241" s="120">
        <v>0</v>
      </c>
      <c r="I241" s="120">
        <v>0</v>
      </c>
      <c r="J241" s="120">
        <f t="shared" si="24"/>
        <v>-0.36</v>
      </c>
      <c r="K241" s="120">
        <v>190.63</v>
      </c>
      <c r="L241" s="120">
        <v>0</v>
      </c>
      <c r="M241" s="120">
        <f t="shared" si="27"/>
        <v>190.63</v>
      </c>
      <c r="N241" s="380">
        <f t="shared" si="25"/>
        <v>-61.575828428606</v>
      </c>
      <c r="O241" s="121" t="s">
        <v>317</v>
      </c>
    </row>
    <row r="242" s="109" customFormat="1" ht="30" customHeight="1" spans="1:15">
      <c r="A242" s="374">
        <v>2082850</v>
      </c>
      <c r="B242" s="199" t="s">
        <v>97</v>
      </c>
      <c r="C242" s="375" t="e">
        <f>SUM(#REF!)</f>
        <v>#REF!</v>
      </c>
      <c r="D242" s="120">
        <v>54.92</v>
      </c>
      <c r="E242" s="120">
        <v>0</v>
      </c>
      <c r="F242" s="120">
        <v>54.92</v>
      </c>
      <c r="G242" s="120">
        <v>-2.5785</v>
      </c>
      <c r="H242" s="120">
        <v>0</v>
      </c>
      <c r="I242" s="120">
        <v>19.1362</v>
      </c>
      <c r="J242" s="120">
        <f t="shared" si="24"/>
        <v>0</v>
      </c>
      <c r="K242" s="120">
        <v>71.4777</v>
      </c>
      <c r="L242" s="120"/>
      <c r="M242" s="120">
        <f t="shared" si="27"/>
        <v>71.4777</v>
      </c>
      <c r="N242" s="380">
        <f t="shared" si="25"/>
        <v>30.1487618353969</v>
      </c>
      <c r="O242" s="121" t="s">
        <v>101</v>
      </c>
    </row>
    <row r="243" s="109" customFormat="1" ht="30" customHeight="1" spans="1:15">
      <c r="A243" s="374">
        <v>2082899</v>
      </c>
      <c r="B243" s="199" t="s">
        <v>318</v>
      </c>
      <c r="C243" s="375" t="e">
        <f>SUM(#REF!)</f>
        <v>#REF!</v>
      </c>
      <c r="D243" s="120">
        <v>12</v>
      </c>
      <c r="E243" s="120">
        <v>170</v>
      </c>
      <c r="F243" s="120">
        <v>182</v>
      </c>
      <c r="G243" s="120">
        <v>0</v>
      </c>
      <c r="H243" s="120">
        <v>0</v>
      </c>
      <c r="I243" s="120">
        <v>0</v>
      </c>
      <c r="J243" s="120">
        <f t="shared" si="24"/>
        <v>-81</v>
      </c>
      <c r="K243" s="120">
        <v>12</v>
      </c>
      <c r="L243" s="120">
        <v>89</v>
      </c>
      <c r="M243" s="120">
        <f t="shared" si="27"/>
        <v>101</v>
      </c>
      <c r="N243" s="380">
        <f t="shared" si="25"/>
        <v>-44.5054945054945</v>
      </c>
      <c r="O243" s="121"/>
    </row>
    <row r="244" s="109" customFormat="1" ht="30" customHeight="1" spans="1:15">
      <c r="A244" s="374">
        <v>20830</v>
      </c>
      <c r="B244" s="199" t="s">
        <v>319</v>
      </c>
      <c r="C244" s="375"/>
      <c r="D244" s="120"/>
      <c r="E244" s="120"/>
      <c r="F244" s="120">
        <v>0</v>
      </c>
      <c r="G244" s="120"/>
      <c r="H244" s="120"/>
      <c r="I244" s="120">
        <v>27</v>
      </c>
      <c r="J244" s="120">
        <f t="shared" si="24"/>
        <v>0</v>
      </c>
      <c r="K244" s="120">
        <v>27</v>
      </c>
      <c r="L244" s="120"/>
      <c r="M244" s="120">
        <f t="shared" si="27"/>
        <v>27</v>
      </c>
      <c r="N244" s="380"/>
      <c r="O244" s="121"/>
    </row>
    <row r="245" s="109" customFormat="1" ht="30" customHeight="1" spans="1:15">
      <c r="A245" s="199">
        <v>2083001</v>
      </c>
      <c r="B245" s="199" t="s">
        <v>320</v>
      </c>
      <c r="C245" s="375"/>
      <c r="D245" s="120"/>
      <c r="E245" s="120"/>
      <c r="F245" s="120">
        <v>0</v>
      </c>
      <c r="G245" s="120"/>
      <c r="H245" s="120"/>
      <c r="I245" s="120">
        <v>27</v>
      </c>
      <c r="J245" s="120">
        <f t="shared" si="24"/>
        <v>0</v>
      </c>
      <c r="K245" s="120">
        <v>27</v>
      </c>
      <c r="L245" s="120"/>
      <c r="M245" s="120">
        <f t="shared" si="27"/>
        <v>27</v>
      </c>
      <c r="N245" s="380"/>
      <c r="O245" s="121"/>
    </row>
    <row r="246" s="109" customFormat="1" ht="30" customHeight="1" spans="1:15">
      <c r="A246" s="374">
        <v>20899</v>
      </c>
      <c r="B246" s="199" t="s">
        <v>321</v>
      </c>
      <c r="C246" s="375" t="e">
        <f>C247</f>
        <v>#REF!</v>
      </c>
      <c r="D246" s="120">
        <v>481.203319</v>
      </c>
      <c r="E246" s="120">
        <v>466.265</v>
      </c>
      <c r="F246" s="120">
        <v>947.468319</v>
      </c>
      <c r="G246" s="120">
        <v>-167.8503</v>
      </c>
      <c r="H246" s="120">
        <v>0</v>
      </c>
      <c r="I246" s="120">
        <v>-2.93642399999995</v>
      </c>
      <c r="J246" s="120">
        <f t="shared" si="24"/>
        <v>-204.265</v>
      </c>
      <c r="K246" s="120">
        <v>310.413276</v>
      </c>
      <c r="L246" s="120">
        <f>L247</f>
        <v>262</v>
      </c>
      <c r="M246" s="120">
        <f t="shared" si="27"/>
        <v>572.413276</v>
      </c>
      <c r="N246" s="380">
        <f t="shared" si="25"/>
        <v>-39.5849692785348</v>
      </c>
      <c r="O246" s="121"/>
    </row>
    <row r="247" s="109" customFormat="1" ht="30" customHeight="1" spans="1:15">
      <c r="A247" s="374">
        <v>2089999</v>
      </c>
      <c r="B247" s="199" t="s">
        <v>321</v>
      </c>
      <c r="C247" s="375" t="e">
        <f>SUM(#REF!)</f>
        <v>#REF!</v>
      </c>
      <c r="D247" s="120">
        <v>481.203319</v>
      </c>
      <c r="E247" s="120">
        <v>466.265</v>
      </c>
      <c r="F247" s="120">
        <v>947.468319</v>
      </c>
      <c r="G247" s="120">
        <v>-167.8503</v>
      </c>
      <c r="H247" s="120">
        <v>0</v>
      </c>
      <c r="I247" s="120">
        <v>-2.93642399999995</v>
      </c>
      <c r="J247" s="120">
        <f t="shared" si="24"/>
        <v>-204.265</v>
      </c>
      <c r="K247" s="120">
        <v>310.413276</v>
      </c>
      <c r="L247" s="120">
        <v>262</v>
      </c>
      <c r="M247" s="120">
        <f t="shared" si="27"/>
        <v>572.413276</v>
      </c>
      <c r="N247" s="380">
        <f t="shared" si="25"/>
        <v>-39.5849692785348</v>
      </c>
      <c r="O247" s="121" t="s">
        <v>322</v>
      </c>
    </row>
    <row r="248" s="109" customFormat="1" ht="30" customHeight="1" spans="1:15">
      <c r="A248" s="374">
        <v>210</v>
      </c>
      <c r="B248" s="199" t="s">
        <v>323</v>
      </c>
      <c r="C248" s="375" t="e">
        <f t="shared" ref="C248:I248" si="28">C249+C253+C257+C261+C270+C273+C276+C279+C281+C283+C285+C287</f>
        <v>#REF!</v>
      </c>
      <c r="D248" s="120">
        <f t="shared" si="28"/>
        <v>9556.129863</v>
      </c>
      <c r="E248" s="120">
        <v>16836.8921</v>
      </c>
      <c r="F248" s="120">
        <f>D248+E248</f>
        <v>26393.021963</v>
      </c>
      <c r="G248" s="120">
        <f t="shared" si="28"/>
        <v>-2662.834179</v>
      </c>
      <c r="H248" s="120">
        <f t="shared" si="28"/>
        <v>-858.69</v>
      </c>
      <c r="I248" s="120">
        <f t="shared" si="28"/>
        <v>303.919118</v>
      </c>
      <c r="J248" s="120">
        <f t="shared" si="24"/>
        <v>-1216.8921</v>
      </c>
      <c r="K248" s="120">
        <v>6338.524802</v>
      </c>
      <c r="L248" s="120">
        <f>L249+L253+L257+L261+L270+L273+L276+L279+L281+L283+L285+L287+L268</f>
        <v>15620</v>
      </c>
      <c r="M248" s="120">
        <f t="shared" si="27"/>
        <v>21958.524802</v>
      </c>
      <c r="N248" s="380">
        <f t="shared" si="25"/>
        <v>-16.8017787702244</v>
      </c>
      <c r="O248" s="121"/>
    </row>
    <row r="249" s="109" customFormat="1" ht="30" customHeight="1" spans="1:15">
      <c r="A249" s="374">
        <v>21001</v>
      </c>
      <c r="B249" s="199" t="s">
        <v>324</v>
      </c>
      <c r="C249" s="375" t="e">
        <f>C250+C251+C252</f>
        <v>#REF!</v>
      </c>
      <c r="D249" s="120">
        <v>381.2</v>
      </c>
      <c r="E249" s="120">
        <v>0</v>
      </c>
      <c r="F249" s="120">
        <v>381.2</v>
      </c>
      <c r="G249" s="120">
        <v>-26.0823</v>
      </c>
      <c r="H249" s="120">
        <v>0</v>
      </c>
      <c r="I249" s="120">
        <v>36.249565</v>
      </c>
      <c r="J249" s="120">
        <f t="shared" si="24"/>
        <v>0</v>
      </c>
      <c r="K249" s="120">
        <v>391.367265</v>
      </c>
      <c r="L249" s="120"/>
      <c r="M249" s="120">
        <f t="shared" si="27"/>
        <v>391.367265</v>
      </c>
      <c r="N249" s="380">
        <f t="shared" si="25"/>
        <v>2.66717339979013</v>
      </c>
      <c r="O249" s="121"/>
    </row>
    <row r="250" s="109" customFormat="1" ht="30" customHeight="1" spans="1:15">
      <c r="A250" s="374">
        <v>2100101</v>
      </c>
      <c r="B250" s="199" t="s">
        <v>73</v>
      </c>
      <c r="C250" s="375" t="e">
        <f>SUM(#REF!)</f>
        <v>#REF!</v>
      </c>
      <c r="D250" s="120">
        <v>334.2</v>
      </c>
      <c r="E250" s="120">
        <v>0</v>
      </c>
      <c r="F250" s="120">
        <v>334.2</v>
      </c>
      <c r="G250" s="120">
        <v>-0.582300000000001</v>
      </c>
      <c r="H250" s="120">
        <v>0</v>
      </c>
      <c r="I250" s="120">
        <v>35.289565</v>
      </c>
      <c r="J250" s="120">
        <f t="shared" si="24"/>
        <v>0</v>
      </c>
      <c r="K250" s="120">
        <v>368.907265</v>
      </c>
      <c r="L250" s="120"/>
      <c r="M250" s="120">
        <f t="shared" si="27"/>
        <v>368.907265</v>
      </c>
      <c r="N250" s="380">
        <f t="shared" si="25"/>
        <v>10.3851780371035</v>
      </c>
      <c r="O250" s="121"/>
    </row>
    <row r="251" s="109" customFormat="1" ht="30" customHeight="1" spans="1:15">
      <c r="A251" s="374">
        <v>2100102</v>
      </c>
      <c r="B251" s="199" t="s">
        <v>89</v>
      </c>
      <c r="C251" s="375" t="e">
        <f>#REF!</f>
        <v>#REF!</v>
      </c>
      <c r="D251" s="120">
        <v>0.5</v>
      </c>
      <c r="E251" s="120">
        <v>0</v>
      </c>
      <c r="F251" s="120">
        <v>0.5</v>
      </c>
      <c r="G251" s="120">
        <v>0</v>
      </c>
      <c r="H251" s="120">
        <v>0</v>
      </c>
      <c r="I251" s="120">
        <v>0</v>
      </c>
      <c r="J251" s="120">
        <f t="shared" si="24"/>
        <v>0</v>
      </c>
      <c r="K251" s="120">
        <v>0.5</v>
      </c>
      <c r="L251" s="120"/>
      <c r="M251" s="120">
        <f t="shared" si="27"/>
        <v>0.5</v>
      </c>
      <c r="N251" s="380">
        <f t="shared" si="25"/>
        <v>0</v>
      </c>
      <c r="O251" s="121"/>
    </row>
    <row r="252" s="109" customFormat="1" ht="30" customHeight="1" spans="1:15">
      <c r="A252" s="374">
        <v>2100199</v>
      </c>
      <c r="B252" s="199" t="s">
        <v>325</v>
      </c>
      <c r="C252" s="375" t="e">
        <f>SUM(#REF!)</f>
        <v>#REF!</v>
      </c>
      <c r="D252" s="120">
        <v>46.5</v>
      </c>
      <c r="E252" s="120">
        <v>0</v>
      </c>
      <c r="F252" s="120">
        <v>46.5</v>
      </c>
      <c r="G252" s="120">
        <v>-25.5</v>
      </c>
      <c r="H252" s="120">
        <v>0</v>
      </c>
      <c r="I252" s="120">
        <v>0.959999999999998</v>
      </c>
      <c r="J252" s="120">
        <f t="shared" si="24"/>
        <v>0</v>
      </c>
      <c r="K252" s="120">
        <v>21.96</v>
      </c>
      <c r="L252" s="120"/>
      <c r="M252" s="120">
        <f t="shared" si="27"/>
        <v>21.96</v>
      </c>
      <c r="N252" s="380">
        <f t="shared" si="25"/>
        <v>-52.7741935483871</v>
      </c>
      <c r="O252" s="121" t="s">
        <v>326</v>
      </c>
    </row>
    <row r="253" s="109" customFormat="1" ht="30" customHeight="1" spans="1:15">
      <c r="A253" s="374">
        <v>21002</v>
      </c>
      <c r="B253" s="199" t="s">
        <v>327</v>
      </c>
      <c r="C253" s="375" t="e">
        <f>C254+C255</f>
        <v>#REF!</v>
      </c>
      <c r="D253" s="120">
        <v>859.61</v>
      </c>
      <c r="E253" s="120">
        <v>102.08</v>
      </c>
      <c r="F253" s="120">
        <v>961.69</v>
      </c>
      <c r="G253" s="120">
        <v>-3.0115</v>
      </c>
      <c r="H253" s="120">
        <v>0</v>
      </c>
      <c r="I253" s="120">
        <v>71.59</v>
      </c>
      <c r="J253" s="120">
        <f t="shared" si="24"/>
        <v>4.92</v>
      </c>
      <c r="K253" s="120">
        <v>928.1885</v>
      </c>
      <c r="L253" s="120">
        <f>L256</f>
        <v>107</v>
      </c>
      <c r="M253" s="120">
        <f t="shared" si="27"/>
        <v>1035.1885</v>
      </c>
      <c r="N253" s="380">
        <f t="shared" si="25"/>
        <v>7.64263952001164</v>
      </c>
      <c r="O253" s="121"/>
    </row>
    <row r="254" s="109" customFormat="1" ht="30" customHeight="1" spans="1:15">
      <c r="A254" s="374">
        <v>2100201</v>
      </c>
      <c r="B254" s="199" t="s">
        <v>328</v>
      </c>
      <c r="C254" s="375" t="e">
        <f>SUM(#REF!)</f>
        <v>#REF!</v>
      </c>
      <c r="D254" s="120">
        <v>856.61</v>
      </c>
      <c r="E254" s="120">
        <v>0</v>
      </c>
      <c r="F254" s="120">
        <v>856.61</v>
      </c>
      <c r="G254" s="120">
        <v>-0.0115000000000006</v>
      </c>
      <c r="H254" s="120">
        <v>0</v>
      </c>
      <c r="I254" s="120">
        <v>71.59</v>
      </c>
      <c r="J254" s="120">
        <f t="shared" si="24"/>
        <v>0</v>
      </c>
      <c r="K254" s="120">
        <v>928.1885</v>
      </c>
      <c r="L254" s="120"/>
      <c r="M254" s="120">
        <f t="shared" si="27"/>
        <v>928.1885</v>
      </c>
      <c r="N254" s="380">
        <f t="shared" si="25"/>
        <v>8.35601965888794</v>
      </c>
      <c r="O254" s="121"/>
    </row>
    <row r="255" s="109" customFormat="1" ht="30" customHeight="1" spans="1:15">
      <c r="A255" s="374">
        <v>2100206</v>
      </c>
      <c r="B255" s="199" t="s">
        <v>329</v>
      </c>
      <c r="C255" s="375" t="e">
        <f>#REF!</f>
        <v>#REF!</v>
      </c>
      <c r="D255" s="120">
        <v>3</v>
      </c>
      <c r="E255" s="120">
        <v>0</v>
      </c>
      <c r="F255" s="120">
        <v>3</v>
      </c>
      <c r="G255" s="120">
        <v>-3</v>
      </c>
      <c r="H255" s="120">
        <v>0</v>
      </c>
      <c r="I255" s="120">
        <v>0</v>
      </c>
      <c r="J255" s="120">
        <f t="shared" si="24"/>
        <v>0</v>
      </c>
      <c r="K255" s="120">
        <v>0</v>
      </c>
      <c r="L255" s="120"/>
      <c r="M255" s="120">
        <f t="shared" si="27"/>
        <v>0</v>
      </c>
      <c r="N255" s="380">
        <f t="shared" si="25"/>
        <v>-100</v>
      </c>
      <c r="O255" s="121"/>
    </row>
    <row r="256" s="109" customFormat="1" ht="30" customHeight="1" spans="1:15">
      <c r="A256" s="374">
        <v>2100299</v>
      </c>
      <c r="B256" s="199" t="s">
        <v>330</v>
      </c>
      <c r="C256" s="375"/>
      <c r="D256" s="120"/>
      <c r="E256" s="120"/>
      <c r="F256" s="120"/>
      <c r="G256" s="120"/>
      <c r="H256" s="120"/>
      <c r="I256" s="120"/>
      <c r="J256" s="120">
        <f t="shared" si="24"/>
        <v>107</v>
      </c>
      <c r="K256" s="120"/>
      <c r="L256" s="120">
        <v>107</v>
      </c>
      <c r="M256" s="120"/>
      <c r="N256" s="380"/>
      <c r="O256" s="121"/>
    </row>
    <row r="257" s="109" customFormat="1" ht="30" customHeight="1" spans="1:15">
      <c r="A257" s="374">
        <v>21003</v>
      </c>
      <c r="B257" s="199" t="s">
        <v>331</v>
      </c>
      <c r="C257" s="375" t="e">
        <f>C258+C259+C260</f>
        <v>#REF!</v>
      </c>
      <c r="D257" s="120">
        <v>1242.86</v>
      </c>
      <c r="E257" s="120">
        <v>931.15</v>
      </c>
      <c r="F257" s="120">
        <v>2174.01</v>
      </c>
      <c r="G257" s="120">
        <v>-446.076</v>
      </c>
      <c r="H257" s="120">
        <v>-68.47</v>
      </c>
      <c r="I257" s="120">
        <v>80.9767</v>
      </c>
      <c r="J257" s="120">
        <f t="shared" si="24"/>
        <v>-788.15</v>
      </c>
      <c r="K257" s="120">
        <v>809.2907</v>
      </c>
      <c r="L257" s="120">
        <f>L260</f>
        <v>143</v>
      </c>
      <c r="M257" s="120">
        <f t="shared" ref="M257:M267" si="29">K257+L257</f>
        <v>952.2907</v>
      </c>
      <c r="N257" s="380">
        <f t="shared" si="25"/>
        <v>-56.1965814324681</v>
      </c>
      <c r="O257" s="121"/>
    </row>
    <row r="258" s="109" customFormat="1" ht="30" customHeight="1" spans="1:15">
      <c r="A258" s="374">
        <v>2100301</v>
      </c>
      <c r="B258" s="199" t="s">
        <v>332</v>
      </c>
      <c r="C258" s="375" t="e">
        <f>SUM(#REF!)</f>
        <v>#REF!</v>
      </c>
      <c r="D258" s="120">
        <v>497.21</v>
      </c>
      <c r="E258" s="120">
        <v>0</v>
      </c>
      <c r="F258" s="120">
        <v>497.21</v>
      </c>
      <c r="G258" s="120">
        <v>-7.7872</v>
      </c>
      <c r="H258" s="120">
        <v>0</v>
      </c>
      <c r="I258" s="120">
        <v>80.9767</v>
      </c>
      <c r="J258" s="120">
        <f t="shared" si="24"/>
        <v>0</v>
      </c>
      <c r="K258" s="120">
        <v>570.3995</v>
      </c>
      <c r="L258" s="120"/>
      <c r="M258" s="120">
        <f t="shared" si="29"/>
        <v>570.3995</v>
      </c>
      <c r="N258" s="380">
        <f t="shared" si="25"/>
        <v>14.7200378109853</v>
      </c>
      <c r="O258" s="121" t="s">
        <v>88</v>
      </c>
    </row>
    <row r="259" s="109" customFormat="1" ht="30" customHeight="1" spans="1:15">
      <c r="A259" s="374">
        <v>2100302</v>
      </c>
      <c r="B259" s="199" t="s">
        <v>333</v>
      </c>
      <c r="C259" s="375" t="e">
        <f>SUM(#REF!)</f>
        <v>#REF!</v>
      </c>
      <c r="D259" s="120">
        <v>237.31</v>
      </c>
      <c r="E259" s="120">
        <v>0</v>
      </c>
      <c r="F259" s="120">
        <v>237.31</v>
      </c>
      <c r="G259" s="120">
        <v>-11.6124</v>
      </c>
      <c r="H259" s="120">
        <v>-68.47</v>
      </c>
      <c r="I259" s="120">
        <v>0</v>
      </c>
      <c r="J259" s="120">
        <f t="shared" si="24"/>
        <v>0</v>
      </c>
      <c r="K259" s="120">
        <v>157.2276</v>
      </c>
      <c r="L259" s="120"/>
      <c r="M259" s="120">
        <f t="shared" si="29"/>
        <v>157.2276</v>
      </c>
      <c r="N259" s="380">
        <f t="shared" si="25"/>
        <v>-33.7459019847457</v>
      </c>
      <c r="O259" s="121" t="s">
        <v>74</v>
      </c>
    </row>
    <row r="260" s="109" customFormat="1" ht="30" customHeight="1" spans="1:15">
      <c r="A260" s="374">
        <v>2100399</v>
      </c>
      <c r="B260" s="199" t="s">
        <v>334</v>
      </c>
      <c r="C260" s="375" t="e">
        <f>SUM(#REF!)</f>
        <v>#REF!</v>
      </c>
      <c r="D260" s="120">
        <v>508.34</v>
      </c>
      <c r="E260" s="120">
        <v>931.15</v>
      </c>
      <c r="F260" s="120">
        <v>1439.49</v>
      </c>
      <c r="G260" s="120">
        <v>-426.6764</v>
      </c>
      <c r="H260" s="120">
        <v>0</v>
      </c>
      <c r="I260" s="120">
        <v>0</v>
      </c>
      <c r="J260" s="120">
        <f t="shared" si="24"/>
        <v>-788.15</v>
      </c>
      <c r="K260" s="120">
        <v>81.6636</v>
      </c>
      <c r="L260" s="120">
        <v>143</v>
      </c>
      <c r="M260" s="120">
        <f t="shared" si="29"/>
        <v>224.6636</v>
      </c>
      <c r="N260" s="380">
        <f t="shared" si="25"/>
        <v>-84.3928335730016</v>
      </c>
      <c r="O260" s="121" t="s">
        <v>335</v>
      </c>
    </row>
    <row r="261" s="109" customFormat="1" ht="30" customHeight="1" spans="1:15">
      <c r="A261" s="374">
        <v>21004</v>
      </c>
      <c r="B261" s="199" t="s">
        <v>336</v>
      </c>
      <c r="C261" s="375" t="e">
        <f>C262+C263+C264+C265+C266+C267</f>
        <v>#REF!</v>
      </c>
      <c r="D261" s="120">
        <v>4297.699863</v>
      </c>
      <c r="E261" s="120">
        <v>2375.789</v>
      </c>
      <c r="F261" s="120">
        <v>6673.488863</v>
      </c>
      <c r="G261" s="120">
        <v>-1550.59017</v>
      </c>
      <c r="H261" s="120">
        <v>-790.22</v>
      </c>
      <c r="I261" s="120">
        <v>41.5013</v>
      </c>
      <c r="J261" s="120">
        <f t="shared" si="24"/>
        <v>-745.789</v>
      </c>
      <c r="K261" s="120">
        <v>1998.390993</v>
      </c>
      <c r="L261" s="120">
        <f>L262+L263+L264+L265+L266+L267</f>
        <v>1630</v>
      </c>
      <c r="M261" s="120">
        <f t="shared" si="29"/>
        <v>3628.390993</v>
      </c>
      <c r="N261" s="380">
        <f t="shared" si="25"/>
        <v>-45.6297737587159</v>
      </c>
      <c r="O261" s="121"/>
    </row>
    <row r="262" s="109" customFormat="1" ht="30" customHeight="1" spans="1:15">
      <c r="A262" s="374">
        <v>2100401</v>
      </c>
      <c r="B262" s="199" t="s">
        <v>337</v>
      </c>
      <c r="C262" s="375" t="e">
        <f>SUM(#REF!)</f>
        <v>#REF!</v>
      </c>
      <c r="D262" s="120">
        <v>2082.33</v>
      </c>
      <c r="E262" s="120">
        <v>208</v>
      </c>
      <c r="F262" s="120">
        <v>2290.33</v>
      </c>
      <c r="G262" s="120">
        <v>-9.4498</v>
      </c>
      <c r="H262" s="120">
        <v>-790.22</v>
      </c>
      <c r="I262" s="120">
        <v>20.8357</v>
      </c>
      <c r="J262" s="120">
        <f t="shared" ref="J262:J325" si="30">L262-E262</f>
        <v>-204</v>
      </c>
      <c r="K262" s="120">
        <v>1303.4959</v>
      </c>
      <c r="L262" s="120">
        <v>4</v>
      </c>
      <c r="M262" s="120">
        <f t="shared" si="29"/>
        <v>1307.4959</v>
      </c>
      <c r="N262" s="380">
        <f t="shared" ref="N262:N325" si="31">(M262-F262)/F262*100</f>
        <v>-42.9123357769404</v>
      </c>
      <c r="O262" s="121"/>
    </row>
    <row r="263" s="109" customFormat="1" ht="30" customHeight="1" spans="1:15">
      <c r="A263" s="374">
        <v>2100403</v>
      </c>
      <c r="B263" s="199" t="s">
        <v>338</v>
      </c>
      <c r="C263" s="375" t="e">
        <f>SUM(#REF!)</f>
        <v>#REF!</v>
      </c>
      <c r="D263" s="120">
        <v>177.2</v>
      </c>
      <c r="E263" s="120">
        <v>68</v>
      </c>
      <c r="F263" s="120">
        <v>245.2</v>
      </c>
      <c r="G263" s="120">
        <v>-5.118163</v>
      </c>
      <c r="H263" s="120">
        <v>0</v>
      </c>
      <c r="I263" s="120">
        <v>20.6716</v>
      </c>
      <c r="J263" s="120">
        <f t="shared" si="30"/>
        <v>-5</v>
      </c>
      <c r="K263" s="120">
        <v>192.753437</v>
      </c>
      <c r="L263" s="120">
        <v>63</v>
      </c>
      <c r="M263" s="120">
        <f t="shared" si="29"/>
        <v>255.753437</v>
      </c>
      <c r="N263" s="380">
        <f t="shared" si="31"/>
        <v>4.30401182707994</v>
      </c>
      <c r="O263" s="121"/>
    </row>
    <row r="264" s="109" customFormat="1" ht="30" customHeight="1" spans="1:15">
      <c r="A264" s="374">
        <v>2100408</v>
      </c>
      <c r="B264" s="199" t="s">
        <v>339</v>
      </c>
      <c r="C264" s="375" t="e">
        <f>SUM(#REF!)</f>
        <v>#REF!</v>
      </c>
      <c r="D264" s="120">
        <v>241.21</v>
      </c>
      <c r="E264" s="120">
        <v>1953.43</v>
      </c>
      <c r="F264" s="120">
        <v>2194.64</v>
      </c>
      <c r="G264" s="120">
        <v>-227.28</v>
      </c>
      <c r="H264" s="120">
        <v>0</v>
      </c>
      <c r="I264" s="120">
        <v>-5.77315972805081e-15</v>
      </c>
      <c r="J264" s="120">
        <f t="shared" si="30"/>
        <v>-562.43</v>
      </c>
      <c r="K264" s="120">
        <v>13.93</v>
      </c>
      <c r="L264" s="120">
        <v>1391</v>
      </c>
      <c r="M264" s="120">
        <f t="shared" si="29"/>
        <v>1404.93</v>
      </c>
      <c r="N264" s="380">
        <f t="shared" si="31"/>
        <v>-35.9835781722743</v>
      </c>
      <c r="O264" s="121" t="s">
        <v>340</v>
      </c>
    </row>
    <row r="265" s="109" customFormat="1" ht="30" customHeight="1" spans="1:15">
      <c r="A265" s="374">
        <v>2100409</v>
      </c>
      <c r="B265" s="199" t="s">
        <v>341</v>
      </c>
      <c r="C265" s="375" t="e">
        <f>SUM(#REF!)</f>
        <v>#REF!</v>
      </c>
      <c r="D265" s="120">
        <v>181.4</v>
      </c>
      <c r="E265" s="120">
        <v>12.11</v>
      </c>
      <c r="F265" s="120">
        <v>193.51</v>
      </c>
      <c r="G265" s="120">
        <v>-131</v>
      </c>
      <c r="H265" s="120">
        <v>0</v>
      </c>
      <c r="I265" s="120">
        <v>0</v>
      </c>
      <c r="J265" s="120">
        <f t="shared" si="30"/>
        <v>-0.109999999999999</v>
      </c>
      <c r="K265" s="120">
        <v>50.4</v>
      </c>
      <c r="L265" s="120">
        <v>12</v>
      </c>
      <c r="M265" s="120">
        <f t="shared" si="29"/>
        <v>62.4</v>
      </c>
      <c r="N265" s="380">
        <f t="shared" si="31"/>
        <v>-67.7536044648855</v>
      </c>
      <c r="O265" s="121" t="s">
        <v>342</v>
      </c>
    </row>
    <row r="266" s="109" customFormat="1" ht="30" customHeight="1" spans="1:15">
      <c r="A266" s="374">
        <v>2100410</v>
      </c>
      <c r="B266" s="199" t="s">
        <v>343</v>
      </c>
      <c r="C266" s="375" t="e">
        <f>SUM(#REF!)</f>
        <v>#REF!</v>
      </c>
      <c r="D266" s="120">
        <v>1426.249863</v>
      </c>
      <c r="E266" s="120">
        <v>4.505</v>
      </c>
      <c r="F266" s="120">
        <v>1430.754863</v>
      </c>
      <c r="G266" s="120">
        <v>-1085.056607</v>
      </c>
      <c r="H266" s="120">
        <v>0</v>
      </c>
      <c r="I266" s="120">
        <v>0</v>
      </c>
      <c r="J266" s="120">
        <f t="shared" si="30"/>
        <v>74.495</v>
      </c>
      <c r="K266" s="120">
        <v>341.193256</v>
      </c>
      <c r="L266" s="120">
        <v>79</v>
      </c>
      <c r="M266" s="120">
        <f t="shared" si="29"/>
        <v>420.193256</v>
      </c>
      <c r="N266" s="380">
        <f t="shared" si="31"/>
        <v>-70.6313592309628</v>
      </c>
      <c r="O266" s="121" t="s">
        <v>344</v>
      </c>
    </row>
    <row r="267" s="109" customFormat="1" ht="30" customHeight="1" spans="1:15">
      <c r="A267" s="374">
        <v>2100499</v>
      </c>
      <c r="B267" s="199" t="s">
        <v>345</v>
      </c>
      <c r="C267" s="375" t="e">
        <f>SUM(#REF!)</f>
        <v>#REF!</v>
      </c>
      <c r="D267" s="120">
        <v>189.31</v>
      </c>
      <c r="E267" s="120">
        <v>129.744</v>
      </c>
      <c r="F267" s="120">
        <v>319.054</v>
      </c>
      <c r="G267" s="120">
        <v>-92.6856</v>
      </c>
      <c r="H267" s="120">
        <v>0</v>
      </c>
      <c r="I267" s="120">
        <v>-0.00600000000000023</v>
      </c>
      <c r="J267" s="120">
        <f t="shared" si="30"/>
        <v>-48.744</v>
      </c>
      <c r="K267" s="120">
        <v>96.6184</v>
      </c>
      <c r="L267" s="120">
        <v>81</v>
      </c>
      <c r="M267" s="120">
        <f t="shared" si="29"/>
        <v>177.6184</v>
      </c>
      <c r="N267" s="380">
        <f t="shared" si="31"/>
        <v>-44.3296746005378</v>
      </c>
      <c r="O267" s="121" t="s">
        <v>346</v>
      </c>
    </row>
    <row r="268" s="109" customFormat="1" ht="30" customHeight="1" spans="1:15">
      <c r="A268" s="374">
        <v>21006</v>
      </c>
      <c r="B268" s="199" t="s">
        <v>347</v>
      </c>
      <c r="C268" s="375"/>
      <c r="D268" s="120"/>
      <c r="E268" s="120"/>
      <c r="F268" s="120"/>
      <c r="G268" s="120"/>
      <c r="H268" s="120"/>
      <c r="I268" s="120"/>
      <c r="J268" s="120">
        <f t="shared" si="30"/>
        <v>4</v>
      </c>
      <c r="K268" s="120"/>
      <c r="L268" s="120">
        <f>L269</f>
        <v>4</v>
      </c>
      <c r="M268" s="120"/>
      <c r="N268" s="380"/>
      <c r="O268" s="121"/>
    </row>
    <row r="269" s="109" customFormat="1" ht="30" customHeight="1" spans="1:15">
      <c r="A269" s="374">
        <v>2100699</v>
      </c>
      <c r="B269" s="199" t="s">
        <v>348</v>
      </c>
      <c r="C269" s="375"/>
      <c r="D269" s="120"/>
      <c r="E269" s="120"/>
      <c r="F269" s="120"/>
      <c r="G269" s="120"/>
      <c r="H269" s="120"/>
      <c r="I269" s="120"/>
      <c r="J269" s="120">
        <f t="shared" si="30"/>
        <v>4</v>
      </c>
      <c r="K269" s="120"/>
      <c r="L269" s="120">
        <v>4</v>
      </c>
      <c r="M269" s="120"/>
      <c r="N269" s="380"/>
      <c r="O269" s="121"/>
    </row>
    <row r="270" s="109" customFormat="1" ht="30" customHeight="1" spans="1:15">
      <c r="A270" s="374">
        <v>21007</v>
      </c>
      <c r="B270" s="199" t="s">
        <v>349</v>
      </c>
      <c r="C270" s="375" t="e">
        <f>C271+C272</f>
        <v>#REF!</v>
      </c>
      <c r="D270" s="120">
        <v>307.54</v>
      </c>
      <c r="E270" s="120">
        <v>111.24</v>
      </c>
      <c r="F270" s="120">
        <v>418.78</v>
      </c>
      <c r="G270" s="120">
        <v>-109.559612</v>
      </c>
      <c r="H270" s="120">
        <v>0</v>
      </c>
      <c r="I270" s="120">
        <v>23.05</v>
      </c>
      <c r="J270" s="120">
        <f t="shared" si="30"/>
        <v>-15.24</v>
      </c>
      <c r="K270" s="120">
        <v>221.030388</v>
      </c>
      <c r="L270" s="120">
        <f>L271+L272</f>
        <v>96</v>
      </c>
      <c r="M270" s="120">
        <f t="shared" ref="M270:M279" si="32">K270+L270</f>
        <v>317.030388</v>
      </c>
      <c r="N270" s="380">
        <f t="shared" si="31"/>
        <v>-24.2966741487177</v>
      </c>
      <c r="O270" s="121"/>
    </row>
    <row r="271" s="109" customFormat="1" ht="30" customHeight="1" spans="1:15">
      <c r="A271" s="374">
        <v>2100717</v>
      </c>
      <c r="B271" s="199" t="s">
        <v>350</v>
      </c>
      <c r="C271" s="375" t="e">
        <f>#REF!</f>
        <v>#REF!</v>
      </c>
      <c r="D271" s="120">
        <v>2</v>
      </c>
      <c r="E271" s="120">
        <v>77.35</v>
      </c>
      <c r="F271" s="120">
        <v>79.35</v>
      </c>
      <c r="G271" s="120">
        <v>0</v>
      </c>
      <c r="H271" s="120">
        <v>0</v>
      </c>
      <c r="I271" s="120">
        <v>0</v>
      </c>
      <c r="J271" s="120">
        <f t="shared" si="30"/>
        <v>-15.35</v>
      </c>
      <c r="K271" s="120">
        <v>2</v>
      </c>
      <c r="L271" s="120">
        <v>62</v>
      </c>
      <c r="M271" s="120">
        <f t="shared" si="32"/>
        <v>64</v>
      </c>
      <c r="N271" s="380">
        <f t="shared" si="31"/>
        <v>-19.3446754883428</v>
      </c>
      <c r="O271" s="121"/>
    </row>
    <row r="272" s="109" customFormat="1" ht="30" customHeight="1" spans="1:15">
      <c r="A272" s="374">
        <v>2100799</v>
      </c>
      <c r="B272" s="199" t="s">
        <v>351</v>
      </c>
      <c r="C272" s="375" t="e">
        <f>SUM(#REF!)</f>
        <v>#REF!</v>
      </c>
      <c r="D272" s="120">
        <v>305.54</v>
      </c>
      <c r="E272" s="120">
        <v>33.89</v>
      </c>
      <c r="F272" s="120">
        <v>339.43</v>
      </c>
      <c r="G272" s="120">
        <v>-109.559612</v>
      </c>
      <c r="H272" s="120">
        <v>0</v>
      </c>
      <c r="I272" s="120">
        <v>23.05</v>
      </c>
      <c r="J272" s="120">
        <f t="shared" si="30"/>
        <v>0.109999999999999</v>
      </c>
      <c r="K272" s="120">
        <v>219.030388</v>
      </c>
      <c r="L272" s="120">
        <v>34</v>
      </c>
      <c r="M272" s="120">
        <f t="shared" si="32"/>
        <v>253.030388</v>
      </c>
      <c r="N272" s="380">
        <f t="shared" si="31"/>
        <v>-25.4543240137878</v>
      </c>
      <c r="O272" s="121"/>
    </row>
    <row r="273" s="109" customFormat="1" ht="30" customHeight="1" spans="1:15">
      <c r="A273" s="374">
        <v>21011</v>
      </c>
      <c r="B273" s="199" t="s">
        <v>352</v>
      </c>
      <c r="C273" s="375" t="e">
        <f>C275+C274</f>
        <v>#REF!</v>
      </c>
      <c r="D273" s="120">
        <v>1009.61</v>
      </c>
      <c r="E273" s="120">
        <v>0</v>
      </c>
      <c r="F273" s="120">
        <v>1009.61</v>
      </c>
      <c r="G273" s="120">
        <v>-58.590964</v>
      </c>
      <c r="H273" s="120">
        <v>0</v>
      </c>
      <c r="I273" s="120">
        <v>55.375</v>
      </c>
      <c r="J273" s="120">
        <f t="shared" si="30"/>
        <v>0</v>
      </c>
      <c r="K273" s="120">
        <v>1006.394036</v>
      </c>
      <c r="L273" s="120"/>
      <c r="M273" s="120">
        <f t="shared" si="32"/>
        <v>1006.394036</v>
      </c>
      <c r="N273" s="380">
        <f t="shared" si="31"/>
        <v>-0.318535275997661</v>
      </c>
      <c r="O273" s="375"/>
    </row>
    <row r="274" s="109" customFormat="1" ht="30" customHeight="1" spans="1:15">
      <c r="A274" s="382" t="s">
        <v>353</v>
      </c>
      <c r="B274" s="199" t="s">
        <v>354</v>
      </c>
      <c r="C274" s="375" t="e">
        <f>#REF!</f>
        <v>#REF!</v>
      </c>
      <c r="D274" s="120">
        <v>7.8</v>
      </c>
      <c r="E274" s="120">
        <v>0</v>
      </c>
      <c r="F274" s="120">
        <v>7.8</v>
      </c>
      <c r="G274" s="120">
        <v>0</v>
      </c>
      <c r="H274" s="120">
        <v>0</v>
      </c>
      <c r="I274" s="120">
        <v>0</v>
      </c>
      <c r="J274" s="120">
        <f t="shared" si="30"/>
        <v>0</v>
      </c>
      <c r="K274" s="120">
        <v>7.8</v>
      </c>
      <c r="L274" s="120"/>
      <c r="M274" s="120">
        <f t="shared" si="32"/>
        <v>7.8</v>
      </c>
      <c r="N274" s="380">
        <f t="shared" si="31"/>
        <v>0</v>
      </c>
      <c r="O274" s="375"/>
    </row>
    <row r="275" s="109" customFormat="1" ht="30" customHeight="1" spans="1:15">
      <c r="A275" s="374">
        <v>2101199</v>
      </c>
      <c r="B275" s="199" t="s">
        <v>355</v>
      </c>
      <c r="C275" s="375" t="e">
        <f>SUM(#REF!)</f>
        <v>#REF!</v>
      </c>
      <c r="D275" s="120">
        <v>1001.81</v>
      </c>
      <c r="E275" s="120">
        <v>0</v>
      </c>
      <c r="F275" s="120">
        <v>1001.81</v>
      </c>
      <c r="G275" s="120">
        <v>-58.590964</v>
      </c>
      <c r="H275" s="120">
        <v>0</v>
      </c>
      <c r="I275" s="120">
        <v>55.375</v>
      </c>
      <c r="J275" s="120">
        <f t="shared" si="30"/>
        <v>0</v>
      </c>
      <c r="K275" s="120">
        <v>998.594036</v>
      </c>
      <c r="L275" s="120"/>
      <c r="M275" s="120">
        <f t="shared" si="32"/>
        <v>998.594036</v>
      </c>
      <c r="N275" s="380">
        <f t="shared" si="31"/>
        <v>-0.321015362194427</v>
      </c>
      <c r="O275" s="121" t="s">
        <v>251</v>
      </c>
    </row>
    <row r="276" s="109" customFormat="1" ht="30" customHeight="1" spans="1:15">
      <c r="A276" s="374">
        <v>21012</v>
      </c>
      <c r="B276" s="199" t="s">
        <v>356</v>
      </c>
      <c r="C276" s="375" t="e">
        <f>C278+C277</f>
        <v>#REF!</v>
      </c>
      <c r="D276" s="120">
        <v>910</v>
      </c>
      <c r="E276" s="120">
        <v>12148.0031</v>
      </c>
      <c r="F276" s="120">
        <v>13058.0031</v>
      </c>
      <c r="G276" s="120">
        <v>-44.47908</v>
      </c>
      <c r="H276" s="120">
        <v>0</v>
      </c>
      <c r="I276" s="120">
        <v>0</v>
      </c>
      <c r="J276" s="120">
        <f t="shared" si="30"/>
        <v>294.9969</v>
      </c>
      <c r="K276" s="120">
        <v>865.52092</v>
      </c>
      <c r="L276" s="120">
        <f>L277+L278</f>
        <v>12443</v>
      </c>
      <c r="M276" s="120">
        <f t="shared" si="32"/>
        <v>13308.52092</v>
      </c>
      <c r="N276" s="380">
        <f t="shared" si="31"/>
        <v>1.91850023377618</v>
      </c>
      <c r="O276" s="121"/>
    </row>
    <row r="277" s="109" customFormat="1" ht="30" customHeight="1" spans="1:15">
      <c r="A277" s="374">
        <v>2101201</v>
      </c>
      <c r="B277" s="201" t="s">
        <v>357</v>
      </c>
      <c r="C277" s="375"/>
      <c r="D277" s="120">
        <v>5</v>
      </c>
      <c r="E277" s="120">
        <v>0</v>
      </c>
      <c r="F277" s="120">
        <v>5</v>
      </c>
      <c r="G277" s="120">
        <v>-3.8033</v>
      </c>
      <c r="H277" s="120"/>
      <c r="I277" s="120">
        <v>0</v>
      </c>
      <c r="J277" s="120">
        <f t="shared" si="30"/>
        <v>10</v>
      </c>
      <c r="K277" s="120">
        <v>1.1967</v>
      </c>
      <c r="L277" s="120">
        <v>10</v>
      </c>
      <c r="M277" s="120">
        <f t="shared" si="32"/>
        <v>11.1967</v>
      </c>
      <c r="N277" s="380">
        <f t="shared" si="31"/>
        <v>123.934</v>
      </c>
      <c r="O277" s="121"/>
    </row>
    <row r="278" s="109" customFormat="1" ht="30" customHeight="1" spans="1:15">
      <c r="A278" s="374">
        <v>2101202</v>
      </c>
      <c r="B278" s="199" t="s">
        <v>358</v>
      </c>
      <c r="C278" s="375" t="e">
        <f>#REF!+0</f>
        <v>#REF!</v>
      </c>
      <c r="D278" s="120">
        <v>905</v>
      </c>
      <c r="E278" s="120">
        <v>12148.0031</v>
      </c>
      <c r="F278" s="120">
        <v>13053.0031</v>
      </c>
      <c r="G278" s="120">
        <v>-40.67578</v>
      </c>
      <c r="H278" s="120">
        <v>0</v>
      </c>
      <c r="I278" s="120">
        <v>0</v>
      </c>
      <c r="J278" s="120">
        <f t="shared" si="30"/>
        <v>284.9969</v>
      </c>
      <c r="K278" s="120">
        <v>864.32422</v>
      </c>
      <c r="L278" s="120">
        <v>12433</v>
      </c>
      <c r="M278" s="120">
        <f t="shared" si="32"/>
        <v>13297.32422</v>
      </c>
      <c r="N278" s="380">
        <f t="shared" si="31"/>
        <v>1.87176175572961</v>
      </c>
      <c r="O278" s="121" t="s">
        <v>359</v>
      </c>
    </row>
    <row r="279" s="109" customFormat="1" ht="30" customHeight="1" spans="1:15">
      <c r="A279" s="374">
        <v>21013</v>
      </c>
      <c r="B279" s="199" t="s">
        <v>360</v>
      </c>
      <c r="C279" s="375" t="e">
        <f>#REF!</f>
        <v>#REF!</v>
      </c>
      <c r="D279" s="120">
        <v>0</v>
      </c>
      <c r="E279" s="120">
        <v>1093</v>
      </c>
      <c r="F279" s="120">
        <v>1093</v>
      </c>
      <c r="G279" s="120">
        <v>0</v>
      </c>
      <c r="H279" s="120">
        <v>0</v>
      </c>
      <c r="I279" s="120">
        <v>0</v>
      </c>
      <c r="J279" s="120">
        <f t="shared" si="30"/>
        <v>0</v>
      </c>
      <c r="K279" s="120">
        <v>0</v>
      </c>
      <c r="L279" s="120">
        <v>1093</v>
      </c>
      <c r="M279" s="120">
        <f t="shared" si="32"/>
        <v>1093</v>
      </c>
      <c r="N279" s="380">
        <f t="shared" si="31"/>
        <v>0</v>
      </c>
      <c r="O279" s="121"/>
    </row>
    <row r="280" s="109" customFormat="1" ht="30" customHeight="1" spans="1:15">
      <c r="A280" s="374">
        <v>2101301</v>
      </c>
      <c r="B280" s="199" t="s">
        <v>361</v>
      </c>
      <c r="C280" s="375"/>
      <c r="D280" s="120"/>
      <c r="E280" s="120"/>
      <c r="F280" s="120"/>
      <c r="G280" s="120"/>
      <c r="H280" s="120"/>
      <c r="I280" s="120"/>
      <c r="J280" s="120">
        <f t="shared" si="30"/>
        <v>1093</v>
      </c>
      <c r="K280" s="120"/>
      <c r="L280" s="120">
        <v>1093</v>
      </c>
      <c r="M280" s="120"/>
      <c r="N280" s="380"/>
      <c r="O280" s="121"/>
    </row>
    <row r="281" s="109" customFormat="1" ht="30" customHeight="1" spans="1:15">
      <c r="A281" s="374">
        <v>21014</v>
      </c>
      <c r="B281" s="199" t="s">
        <v>362</v>
      </c>
      <c r="C281" s="375" t="e">
        <f>C282+0</f>
        <v>#REF!</v>
      </c>
      <c r="D281" s="120">
        <v>2</v>
      </c>
      <c r="E281" s="120">
        <v>25.49</v>
      </c>
      <c r="F281" s="120">
        <v>27.49</v>
      </c>
      <c r="G281" s="120">
        <v>-2</v>
      </c>
      <c r="H281" s="120">
        <v>0</v>
      </c>
      <c r="I281" s="120">
        <v>0</v>
      </c>
      <c r="J281" s="120">
        <f t="shared" si="30"/>
        <v>-0.489999999999998</v>
      </c>
      <c r="K281" s="120">
        <v>0</v>
      </c>
      <c r="L281" s="120">
        <v>25</v>
      </c>
      <c r="M281" s="120">
        <f t="shared" ref="M281:M295" si="33">K281+L281</f>
        <v>25</v>
      </c>
      <c r="N281" s="380">
        <f t="shared" si="31"/>
        <v>-9.05783921425973</v>
      </c>
      <c r="O281" s="121"/>
    </row>
    <row r="282" s="109" customFormat="1" ht="30" customHeight="1" spans="1:15">
      <c r="A282" s="374">
        <v>2101401</v>
      </c>
      <c r="B282" s="199" t="s">
        <v>363</v>
      </c>
      <c r="C282" s="375" t="e">
        <f>#REF!</f>
        <v>#REF!</v>
      </c>
      <c r="D282" s="120">
        <v>2</v>
      </c>
      <c r="E282" s="120">
        <v>25.49</v>
      </c>
      <c r="F282" s="120">
        <v>27.49</v>
      </c>
      <c r="G282" s="120">
        <v>-2</v>
      </c>
      <c r="H282" s="120">
        <v>0</v>
      </c>
      <c r="I282" s="120">
        <v>0</v>
      </c>
      <c r="J282" s="120">
        <f t="shared" si="30"/>
        <v>-0.489999999999998</v>
      </c>
      <c r="K282" s="120">
        <v>0</v>
      </c>
      <c r="L282" s="120">
        <v>25</v>
      </c>
      <c r="M282" s="120">
        <f t="shared" si="33"/>
        <v>25</v>
      </c>
      <c r="N282" s="380">
        <f t="shared" si="31"/>
        <v>-9.05783921425973</v>
      </c>
      <c r="O282" s="121"/>
    </row>
    <row r="283" s="109" customFormat="1" ht="30" customHeight="1" spans="1:15">
      <c r="A283" s="374">
        <v>21015</v>
      </c>
      <c r="B283" s="199" t="s">
        <v>364</v>
      </c>
      <c r="C283" s="375" t="e">
        <f>C284</f>
        <v>#REF!</v>
      </c>
      <c r="D283" s="120">
        <v>40</v>
      </c>
      <c r="E283" s="120">
        <v>0</v>
      </c>
      <c r="F283" s="120">
        <v>40</v>
      </c>
      <c r="G283" s="120">
        <v>-40</v>
      </c>
      <c r="H283" s="120">
        <v>0</v>
      </c>
      <c r="I283" s="120">
        <v>0</v>
      </c>
      <c r="J283" s="120">
        <f t="shared" si="30"/>
        <v>0</v>
      </c>
      <c r="K283" s="120">
        <v>0</v>
      </c>
      <c r="L283" s="120"/>
      <c r="M283" s="120">
        <f t="shared" si="33"/>
        <v>0</v>
      </c>
      <c r="N283" s="380">
        <f t="shared" si="31"/>
        <v>-100</v>
      </c>
      <c r="O283" s="121"/>
    </row>
    <row r="284" s="109" customFormat="1" ht="30" customHeight="1" spans="1:15">
      <c r="A284" s="374">
        <v>2101504</v>
      </c>
      <c r="B284" s="199" t="s">
        <v>103</v>
      </c>
      <c r="C284" s="375" t="e">
        <f>#REF!</f>
        <v>#REF!</v>
      </c>
      <c r="D284" s="120">
        <v>40</v>
      </c>
      <c r="E284" s="120">
        <v>0</v>
      </c>
      <c r="F284" s="120">
        <v>40</v>
      </c>
      <c r="G284" s="120">
        <v>-40</v>
      </c>
      <c r="H284" s="120">
        <v>0</v>
      </c>
      <c r="I284" s="120">
        <v>0</v>
      </c>
      <c r="J284" s="120">
        <f t="shared" si="30"/>
        <v>0</v>
      </c>
      <c r="K284" s="120">
        <v>0</v>
      </c>
      <c r="L284" s="120"/>
      <c r="M284" s="120">
        <f t="shared" si="33"/>
        <v>0</v>
      </c>
      <c r="N284" s="380">
        <f t="shared" si="31"/>
        <v>-100</v>
      </c>
      <c r="O284" s="121" t="s">
        <v>365</v>
      </c>
    </row>
    <row r="285" s="109" customFormat="1" ht="30" customHeight="1" spans="1:15">
      <c r="A285" s="374">
        <v>21016</v>
      </c>
      <c r="B285" s="199" t="s">
        <v>366</v>
      </c>
      <c r="C285" s="375" t="e">
        <f>C286</f>
        <v>#REF!</v>
      </c>
      <c r="D285" s="120">
        <v>69</v>
      </c>
      <c r="E285" s="120">
        <v>0</v>
      </c>
      <c r="F285" s="120">
        <v>69</v>
      </c>
      <c r="G285" s="120">
        <v>-10.243</v>
      </c>
      <c r="H285" s="120">
        <v>0</v>
      </c>
      <c r="I285" s="120">
        <v>0</v>
      </c>
      <c r="J285" s="120">
        <f t="shared" si="30"/>
        <v>32</v>
      </c>
      <c r="K285" s="120">
        <v>58.757</v>
      </c>
      <c r="L285" s="120">
        <v>32</v>
      </c>
      <c r="M285" s="120">
        <f t="shared" si="33"/>
        <v>90.757</v>
      </c>
      <c r="N285" s="380">
        <f t="shared" si="31"/>
        <v>31.531884057971</v>
      </c>
      <c r="O285" s="121"/>
    </row>
    <row r="286" s="109" customFormat="1" ht="30" customHeight="1" spans="1:15">
      <c r="A286" s="374">
        <v>2101601</v>
      </c>
      <c r="B286" s="199" t="s">
        <v>366</v>
      </c>
      <c r="C286" s="375" t="e">
        <f>#REF!</f>
        <v>#REF!</v>
      </c>
      <c r="D286" s="120">
        <v>69</v>
      </c>
      <c r="E286" s="120">
        <v>0</v>
      </c>
      <c r="F286" s="120">
        <v>69</v>
      </c>
      <c r="G286" s="120">
        <v>-10.243</v>
      </c>
      <c r="H286" s="120">
        <v>0</v>
      </c>
      <c r="I286" s="120">
        <v>0</v>
      </c>
      <c r="J286" s="120">
        <f t="shared" si="30"/>
        <v>32</v>
      </c>
      <c r="K286" s="120">
        <v>58.757</v>
      </c>
      <c r="L286" s="120">
        <v>32</v>
      </c>
      <c r="M286" s="120">
        <f t="shared" si="33"/>
        <v>90.757</v>
      </c>
      <c r="N286" s="380">
        <f t="shared" si="31"/>
        <v>31.531884057971</v>
      </c>
      <c r="O286" s="121"/>
    </row>
    <row r="287" s="109" customFormat="1" ht="30" customHeight="1" spans="1:15">
      <c r="A287" s="374">
        <v>21099</v>
      </c>
      <c r="B287" s="199" t="s">
        <v>367</v>
      </c>
      <c r="C287" s="375" t="e">
        <f>+C288</f>
        <v>#REF!</v>
      </c>
      <c r="D287" s="120">
        <v>436.61</v>
      </c>
      <c r="E287" s="120">
        <v>45.14</v>
      </c>
      <c r="F287" s="120">
        <v>481.75</v>
      </c>
      <c r="G287" s="120">
        <v>-372.201553</v>
      </c>
      <c r="H287" s="120">
        <v>0</v>
      </c>
      <c r="I287" s="120">
        <v>-4.823447</v>
      </c>
      <c r="J287" s="120">
        <f t="shared" si="30"/>
        <v>1.86</v>
      </c>
      <c r="K287" s="120">
        <v>59.585</v>
      </c>
      <c r="L287" s="120">
        <v>47</v>
      </c>
      <c r="M287" s="120">
        <f t="shared" si="33"/>
        <v>106.585</v>
      </c>
      <c r="N287" s="380">
        <f t="shared" si="31"/>
        <v>-77.8754540736897</v>
      </c>
      <c r="O287" s="375"/>
    </row>
    <row r="288" s="109" customFormat="1" ht="30" customHeight="1" spans="1:15">
      <c r="A288" s="374">
        <v>2109999</v>
      </c>
      <c r="B288" s="199" t="s">
        <v>367</v>
      </c>
      <c r="C288" s="375" t="e">
        <f>SUM(#REF!)</f>
        <v>#REF!</v>
      </c>
      <c r="D288" s="120">
        <v>436.61</v>
      </c>
      <c r="E288" s="120">
        <v>45.14</v>
      </c>
      <c r="F288" s="120">
        <v>481.75</v>
      </c>
      <c r="G288" s="120">
        <v>-372.201553</v>
      </c>
      <c r="H288" s="120">
        <v>0</v>
      </c>
      <c r="I288" s="120">
        <v>-4.823447</v>
      </c>
      <c r="J288" s="120">
        <f t="shared" si="30"/>
        <v>1.86</v>
      </c>
      <c r="K288" s="120">
        <v>59.585</v>
      </c>
      <c r="L288" s="120">
        <v>47</v>
      </c>
      <c r="M288" s="120">
        <f t="shared" si="33"/>
        <v>106.585</v>
      </c>
      <c r="N288" s="380">
        <f t="shared" si="31"/>
        <v>-77.8754540736897</v>
      </c>
      <c r="O288" s="121" t="s">
        <v>368</v>
      </c>
    </row>
    <row r="289" s="109" customFormat="1" ht="30" customHeight="1" spans="1:15">
      <c r="A289" s="374">
        <v>211</v>
      </c>
      <c r="B289" s="199" t="s">
        <v>369</v>
      </c>
      <c r="C289" s="375" t="e">
        <f t="shared" ref="C289:I289" si="34">C290+0+C297+C294+C292</f>
        <v>#REF!</v>
      </c>
      <c r="D289" s="120">
        <f t="shared" si="34"/>
        <v>89.25</v>
      </c>
      <c r="E289" s="120">
        <v>114</v>
      </c>
      <c r="F289" s="120">
        <f>D289+E289</f>
        <v>203.25</v>
      </c>
      <c r="G289" s="120">
        <f t="shared" si="34"/>
        <v>-48</v>
      </c>
      <c r="H289" s="120">
        <f t="shared" si="34"/>
        <v>0</v>
      </c>
      <c r="I289" s="120">
        <f t="shared" si="34"/>
        <v>0</v>
      </c>
      <c r="J289" s="120">
        <f t="shared" si="30"/>
        <v>0</v>
      </c>
      <c r="K289" s="120">
        <v>41.25</v>
      </c>
      <c r="L289" s="120">
        <f>L290+0+L297+L294+L292</f>
        <v>114</v>
      </c>
      <c r="M289" s="120">
        <f t="shared" si="33"/>
        <v>155.25</v>
      </c>
      <c r="N289" s="380">
        <f t="shared" si="31"/>
        <v>-23.6162361623616</v>
      </c>
      <c r="O289" s="375"/>
    </row>
    <row r="290" s="109" customFormat="1" ht="30" customHeight="1" spans="1:15">
      <c r="A290" s="374">
        <v>21101</v>
      </c>
      <c r="B290" s="199" t="s">
        <v>370</v>
      </c>
      <c r="C290" s="375" t="e">
        <f>#REF!+C291</f>
        <v>#REF!</v>
      </c>
      <c r="D290" s="120">
        <v>10</v>
      </c>
      <c r="E290" s="120">
        <v>0</v>
      </c>
      <c r="F290" s="120">
        <v>10</v>
      </c>
      <c r="G290" s="120">
        <v>-10</v>
      </c>
      <c r="H290" s="120">
        <v>0</v>
      </c>
      <c r="I290" s="120">
        <v>0</v>
      </c>
      <c r="J290" s="120">
        <f t="shared" si="30"/>
        <v>0</v>
      </c>
      <c r="K290" s="120">
        <v>0</v>
      </c>
      <c r="L290" s="120"/>
      <c r="M290" s="120">
        <f t="shared" si="33"/>
        <v>0</v>
      </c>
      <c r="N290" s="380">
        <f t="shared" si="31"/>
        <v>-100</v>
      </c>
      <c r="O290" s="121"/>
    </row>
    <row r="291" s="109" customFormat="1" ht="30" customHeight="1" spans="1:15">
      <c r="A291" s="374">
        <v>2110199</v>
      </c>
      <c r="B291" s="199" t="s">
        <v>371</v>
      </c>
      <c r="C291" s="375" t="e">
        <f>0+#REF!</f>
        <v>#REF!</v>
      </c>
      <c r="D291" s="120">
        <v>10</v>
      </c>
      <c r="E291" s="120">
        <v>0</v>
      </c>
      <c r="F291" s="120">
        <v>10</v>
      </c>
      <c r="G291" s="120">
        <v>-10</v>
      </c>
      <c r="H291" s="120">
        <v>0</v>
      </c>
      <c r="I291" s="120">
        <v>0</v>
      </c>
      <c r="J291" s="120">
        <f t="shared" si="30"/>
        <v>0</v>
      </c>
      <c r="K291" s="120">
        <v>0</v>
      </c>
      <c r="L291" s="120"/>
      <c r="M291" s="120">
        <f t="shared" si="33"/>
        <v>0</v>
      </c>
      <c r="N291" s="380">
        <f t="shared" si="31"/>
        <v>-100</v>
      </c>
      <c r="O291" s="121"/>
    </row>
    <row r="292" s="109" customFormat="1" ht="30" customHeight="1" spans="1:15">
      <c r="A292" s="374">
        <v>21102</v>
      </c>
      <c r="B292" s="199" t="s">
        <v>372</v>
      </c>
      <c r="C292" s="375" t="e">
        <f t="shared" ref="C292:C297" si="35">C293</f>
        <v>#REF!</v>
      </c>
      <c r="D292" s="120">
        <v>26.25</v>
      </c>
      <c r="E292" s="120">
        <v>0</v>
      </c>
      <c r="F292" s="120">
        <v>26.25</v>
      </c>
      <c r="G292" s="120">
        <v>0</v>
      </c>
      <c r="H292" s="120">
        <v>0</v>
      </c>
      <c r="I292" s="120">
        <v>0</v>
      </c>
      <c r="J292" s="120">
        <f t="shared" si="30"/>
        <v>0</v>
      </c>
      <c r="K292" s="120">
        <v>26.25</v>
      </c>
      <c r="L292" s="120"/>
      <c r="M292" s="120">
        <f t="shared" si="33"/>
        <v>26.25</v>
      </c>
      <c r="N292" s="380">
        <f t="shared" si="31"/>
        <v>0</v>
      </c>
      <c r="O292" s="121"/>
    </row>
    <row r="293" s="109" customFormat="1" ht="30" customHeight="1" spans="1:15">
      <c r="A293" s="374">
        <v>2110299</v>
      </c>
      <c r="B293" s="199" t="s">
        <v>373</v>
      </c>
      <c r="C293" s="375" t="e">
        <f>#REF!</f>
        <v>#REF!</v>
      </c>
      <c r="D293" s="120">
        <v>26.25</v>
      </c>
      <c r="E293" s="120">
        <v>0</v>
      </c>
      <c r="F293" s="120">
        <v>26.25</v>
      </c>
      <c r="G293" s="120">
        <v>0</v>
      </c>
      <c r="H293" s="120">
        <v>0</v>
      </c>
      <c r="I293" s="120">
        <v>0</v>
      </c>
      <c r="J293" s="120">
        <f t="shared" si="30"/>
        <v>0</v>
      </c>
      <c r="K293" s="120">
        <v>26.25</v>
      </c>
      <c r="L293" s="120"/>
      <c r="M293" s="120">
        <f t="shared" si="33"/>
        <v>26.25</v>
      </c>
      <c r="N293" s="380">
        <f t="shared" si="31"/>
        <v>0</v>
      </c>
      <c r="O293" s="121"/>
    </row>
    <row r="294" s="109" customFormat="1" ht="30" customHeight="1" spans="1:15">
      <c r="A294" s="374">
        <v>21103</v>
      </c>
      <c r="B294" s="199" t="s">
        <v>374</v>
      </c>
      <c r="C294" s="375" t="e">
        <f t="shared" si="35"/>
        <v>#REF!</v>
      </c>
      <c r="D294" s="120">
        <v>10</v>
      </c>
      <c r="E294" s="120">
        <v>50</v>
      </c>
      <c r="F294" s="120">
        <v>60</v>
      </c>
      <c r="G294" s="120">
        <v>-10</v>
      </c>
      <c r="H294" s="120">
        <v>0</v>
      </c>
      <c r="I294" s="120">
        <v>0</v>
      </c>
      <c r="J294" s="120">
        <f t="shared" si="30"/>
        <v>0</v>
      </c>
      <c r="K294" s="120">
        <v>0</v>
      </c>
      <c r="L294" s="120">
        <v>50</v>
      </c>
      <c r="M294" s="120">
        <f t="shared" si="33"/>
        <v>50</v>
      </c>
      <c r="N294" s="380">
        <f t="shared" si="31"/>
        <v>-16.6666666666667</v>
      </c>
      <c r="O294" s="121"/>
    </row>
    <row r="295" s="109" customFormat="1" ht="30" customHeight="1" spans="1:15">
      <c r="A295" s="374" t="s">
        <v>375</v>
      </c>
      <c r="B295" s="199" t="s">
        <v>376</v>
      </c>
      <c r="C295" s="375" t="e">
        <f>#REF!</f>
        <v>#REF!</v>
      </c>
      <c r="D295" s="120">
        <v>10</v>
      </c>
      <c r="E295" s="120">
        <v>0</v>
      </c>
      <c r="F295" s="120">
        <v>10</v>
      </c>
      <c r="G295" s="120">
        <v>-10</v>
      </c>
      <c r="H295" s="120">
        <v>0</v>
      </c>
      <c r="I295" s="120">
        <v>0</v>
      </c>
      <c r="J295" s="120">
        <f t="shared" si="30"/>
        <v>0</v>
      </c>
      <c r="K295" s="120">
        <v>0</v>
      </c>
      <c r="L295" s="120"/>
      <c r="M295" s="120">
        <f t="shared" si="33"/>
        <v>0</v>
      </c>
      <c r="N295" s="380">
        <f t="shared" si="31"/>
        <v>-100</v>
      </c>
      <c r="O295" s="121"/>
    </row>
    <row r="296" s="109" customFormat="1" ht="30" customHeight="1" spans="1:15">
      <c r="A296" s="374">
        <v>2110304</v>
      </c>
      <c r="B296" s="199" t="s">
        <v>377</v>
      </c>
      <c r="C296" s="375"/>
      <c r="D296" s="120"/>
      <c r="E296" s="120"/>
      <c r="F296" s="120"/>
      <c r="G296" s="120"/>
      <c r="H296" s="120"/>
      <c r="I296" s="120"/>
      <c r="J296" s="120">
        <f t="shared" si="30"/>
        <v>50</v>
      </c>
      <c r="K296" s="120"/>
      <c r="L296" s="120">
        <v>50</v>
      </c>
      <c r="M296" s="120"/>
      <c r="N296" s="380"/>
      <c r="O296" s="121"/>
    </row>
    <row r="297" s="109" customFormat="1" ht="30" customHeight="1" spans="1:15">
      <c r="A297" s="374">
        <v>21199</v>
      </c>
      <c r="B297" s="199" t="s">
        <v>378</v>
      </c>
      <c r="C297" s="375" t="e">
        <f t="shared" si="35"/>
        <v>#REF!</v>
      </c>
      <c r="D297" s="120">
        <v>43</v>
      </c>
      <c r="E297" s="120">
        <v>64</v>
      </c>
      <c r="F297" s="120">
        <v>107</v>
      </c>
      <c r="G297" s="120">
        <v>-28</v>
      </c>
      <c r="H297" s="120">
        <v>0</v>
      </c>
      <c r="I297" s="120">
        <v>0</v>
      </c>
      <c r="J297" s="120">
        <f t="shared" si="30"/>
        <v>0</v>
      </c>
      <c r="K297" s="120">
        <v>15</v>
      </c>
      <c r="L297" s="120">
        <v>64</v>
      </c>
      <c r="M297" s="120">
        <f t="shared" ref="M297:M319" si="36">K297+L297</f>
        <v>79</v>
      </c>
      <c r="N297" s="380">
        <f t="shared" si="31"/>
        <v>-26.1682242990654</v>
      </c>
      <c r="O297" s="375"/>
    </row>
    <row r="298" s="109" customFormat="1" ht="30" customHeight="1" spans="1:15">
      <c r="A298" s="374" t="s">
        <v>379</v>
      </c>
      <c r="B298" s="199" t="s">
        <v>378</v>
      </c>
      <c r="C298" s="375" t="e">
        <f>#REF!+#REF!</f>
        <v>#REF!</v>
      </c>
      <c r="D298" s="120">
        <v>43</v>
      </c>
      <c r="E298" s="120">
        <v>64</v>
      </c>
      <c r="F298" s="120">
        <v>107</v>
      </c>
      <c r="G298" s="120">
        <v>-28</v>
      </c>
      <c r="H298" s="120">
        <v>0</v>
      </c>
      <c r="I298" s="120">
        <v>0</v>
      </c>
      <c r="J298" s="120">
        <f t="shared" si="30"/>
        <v>0</v>
      </c>
      <c r="K298" s="120">
        <v>15</v>
      </c>
      <c r="L298" s="120">
        <v>64</v>
      </c>
      <c r="M298" s="120">
        <f t="shared" si="36"/>
        <v>79</v>
      </c>
      <c r="N298" s="380">
        <f t="shared" si="31"/>
        <v>-26.1682242990654</v>
      </c>
      <c r="O298" s="121"/>
    </row>
    <row r="299" s="109" customFormat="1" ht="30" customHeight="1" spans="1:15">
      <c r="A299" s="374">
        <v>212</v>
      </c>
      <c r="B299" s="199" t="s">
        <v>380</v>
      </c>
      <c r="C299" s="375" t="e">
        <f t="shared" ref="C299:I299" si="37">C300+C305+C307+C309+C311</f>
        <v>#REF!</v>
      </c>
      <c r="D299" s="120">
        <f>D300+D305+D307+D309+D311-1</f>
        <v>16038.24</v>
      </c>
      <c r="E299" s="120">
        <v>-1925.78</v>
      </c>
      <c r="F299" s="120">
        <f>D299+E299</f>
        <v>14112.46</v>
      </c>
      <c r="G299" s="120">
        <f t="shared" si="37"/>
        <v>-2279.2786</v>
      </c>
      <c r="H299" s="120">
        <f t="shared" si="37"/>
        <v>-18</v>
      </c>
      <c r="I299" s="120">
        <f t="shared" si="37"/>
        <v>-10.53835</v>
      </c>
      <c r="J299" s="120">
        <f t="shared" si="30"/>
        <v>5395.78</v>
      </c>
      <c r="K299" s="120">
        <v>13731.42305</v>
      </c>
      <c r="L299" s="120">
        <f>L300+L305+L307+L309+L311</f>
        <v>3470</v>
      </c>
      <c r="M299" s="120">
        <f t="shared" si="36"/>
        <v>17201.42305</v>
      </c>
      <c r="N299" s="380">
        <f t="shared" si="31"/>
        <v>21.8881970258906</v>
      </c>
      <c r="O299" s="121"/>
    </row>
    <row r="300" s="109" customFormat="1" ht="30" customHeight="1" spans="1:15">
      <c r="A300" s="374">
        <v>21201</v>
      </c>
      <c r="B300" s="199" t="s">
        <v>381</v>
      </c>
      <c r="C300" s="375" t="e">
        <f>C301+C302+C303+C304</f>
        <v>#REF!</v>
      </c>
      <c r="D300" s="120">
        <v>15064.93</v>
      </c>
      <c r="E300" s="120">
        <v>1497.71</v>
      </c>
      <c r="F300" s="120">
        <v>16562.64</v>
      </c>
      <c r="G300" s="120">
        <v>-1753.3986</v>
      </c>
      <c r="H300" s="120">
        <v>-18</v>
      </c>
      <c r="I300" s="120">
        <v>-27.03835</v>
      </c>
      <c r="J300" s="120">
        <f t="shared" si="30"/>
        <v>356.29</v>
      </c>
      <c r="K300" s="120">
        <v>13266.49305</v>
      </c>
      <c r="L300" s="120">
        <f>L301+L304</f>
        <v>1854</v>
      </c>
      <c r="M300" s="120">
        <f t="shared" si="36"/>
        <v>15120.49305</v>
      </c>
      <c r="N300" s="380">
        <f t="shared" si="31"/>
        <v>-8.7072287388967</v>
      </c>
      <c r="O300" s="121"/>
    </row>
    <row r="301" s="109" customFormat="1" ht="30" customHeight="1" spans="1:15">
      <c r="A301" s="374">
        <v>2120101</v>
      </c>
      <c r="B301" s="199" t="s">
        <v>73</v>
      </c>
      <c r="C301" s="375" t="e">
        <f>SUM(#REF!)</f>
        <v>#REF!</v>
      </c>
      <c r="D301" s="120">
        <v>1300.16</v>
      </c>
      <c r="E301" s="120">
        <v>135.39</v>
      </c>
      <c r="F301" s="120">
        <v>1435.55</v>
      </c>
      <c r="G301" s="120">
        <v>-58.2468</v>
      </c>
      <c r="H301" s="120">
        <v>0</v>
      </c>
      <c r="I301" s="120">
        <v>-14.57765</v>
      </c>
      <c r="J301" s="120">
        <f t="shared" si="30"/>
        <v>-0.389999999999986</v>
      </c>
      <c r="K301" s="120">
        <v>1227.33555</v>
      </c>
      <c r="L301" s="120">
        <v>135</v>
      </c>
      <c r="M301" s="120">
        <f t="shared" si="36"/>
        <v>1362.33555</v>
      </c>
      <c r="N301" s="380">
        <f t="shared" si="31"/>
        <v>-5.10009752359722</v>
      </c>
      <c r="O301" s="121" t="s">
        <v>101</v>
      </c>
    </row>
    <row r="302" s="109" customFormat="1" ht="30" customHeight="1" spans="1:15">
      <c r="A302" s="374">
        <v>2120104</v>
      </c>
      <c r="B302" s="199" t="s">
        <v>382</v>
      </c>
      <c r="C302" s="375" t="e">
        <f>SUM(#REF!)</f>
        <v>#REF!</v>
      </c>
      <c r="D302" s="120">
        <v>130.37</v>
      </c>
      <c r="E302" s="120">
        <v>0</v>
      </c>
      <c r="F302" s="120">
        <v>130.37</v>
      </c>
      <c r="G302" s="120">
        <v>-30.8</v>
      </c>
      <c r="H302" s="120">
        <v>0</v>
      </c>
      <c r="I302" s="120">
        <v>4.68</v>
      </c>
      <c r="J302" s="120">
        <f t="shared" si="30"/>
        <v>0</v>
      </c>
      <c r="K302" s="120">
        <v>104.25</v>
      </c>
      <c r="L302" s="120"/>
      <c r="M302" s="120">
        <f t="shared" si="36"/>
        <v>104.25</v>
      </c>
      <c r="N302" s="380">
        <f t="shared" si="31"/>
        <v>-20.0352841911483</v>
      </c>
      <c r="O302" s="375" t="s">
        <v>383</v>
      </c>
    </row>
    <row r="303" s="109" customFormat="1" ht="30" customHeight="1" spans="1:15">
      <c r="A303" s="374">
        <v>2120106</v>
      </c>
      <c r="B303" s="199" t="s">
        <v>384</v>
      </c>
      <c r="C303" s="375" t="e">
        <f>SUM(#REF!)</f>
        <v>#REF!</v>
      </c>
      <c r="D303" s="120">
        <v>236.52</v>
      </c>
      <c r="E303" s="120">
        <v>0</v>
      </c>
      <c r="F303" s="120">
        <v>236.52</v>
      </c>
      <c r="G303" s="120">
        <v>-18.1643</v>
      </c>
      <c r="H303" s="120">
        <v>0</v>
      </c>
      <c r="I303" s="120">
        <v>25.0572</v>
      </c>
      <c r="J303" s="120">
        <f t="shared" si="30"/>
        <v>0</v>
      </c>
      <c r="K303" s="120">
        <v>243.4129</v>
      </c>
      <c r="L303" s="120"/>
      <c r="M303" s="120">
        <f t="shared" si="36"/>
        <v>243.4129</v>
      </c>
      <c r="N303" s="380">
        <f t="shared" si="31"/>
        <v>2.91429900219854</v>
      </c>
      <c r="O303" s="121" t="s">
        <v>385</v>
      </c>
    </row>
    <row r="304" s="109" customFormat="1" ht="30" customHeight="1" spans="1:15">
      <c r="A304" s="374">
        <v>2120199</v>
      </c>
      <c r="B304" s="199" t="s">
        <v>386</v>
      </c>
      <c r="C304" s="375" t="e">
        <f>SUM(#REF!)</f>
        <v>#REF!</v>
      </c>
      <c r="D304" s="120">
        <v>13397.88</v>
      </c>
      <c r="E304" s="120">
        <v>1362.32</v>
      </c>
      <c r="F304" s="120">
        <v>14760.2</v>
      </c>
      <c r="G304" s="120">
        <v>-1646.1875</v>
      </c>
      <c r="H304" s="120">
        <v>-18</v>
      </c>
      <c r="I304" s="120">
        <v>-42.1979</v>
      </c>
      <c r="J304" s="120">
        <f t="shared" si="30"/>
        <v>356.68</v>
      </c>
      <c r="K304" s="120">
        <v>11691.4946</v>
      </c>
      <c r="L304" s="120">
        <v>1719</v>
      </c>
      <c r="M304" s="120">
        <f t="shared" si="36"/>
        <v>13410.4946</v>
      </c>
      <c r="N304" s="380">
        <f t="shared" si="31"/>
        <v>-9.14422162301324</v>
      </c>
      <c r="O304" s="121" t="s">
        <v>88</v>
      </c>
    </row>
    <row r="305" s="109" customFormat="1" ht="30" customHeight="1" spans="1:15">
      <c r="A305" s="374">
        <v>21202</v>
      </c>
      <c r="B305" s="199" t="s">
        <v>387</v>
      </c>
      <c r="C305" s="375" t="e">
        <f t="shared" ref="C305:C309" si="38">C306</f>
        <v>#REF!</v>
      </c>
      <c r="D305" s="120">
        <v>26.86</v>
      </c>
      <c r="E305" s="120">
        <v>676.51</v>
      </c>
      <c r="F305" s="120">
        <v>703.37</v>
      </c>
      <c r="G305" s="120">
        <v>0</v>
      </c>
      <c r="H305" s="120">
        <v>0</v>
      </c>
      <c r="I305" s="120">
        <v>0</v>
      </c>
      <c r="J305" s="120">
        <f t="shared" si="30"/>
        <v>0.490000000000009</v>
      </c>
      <c r="K305" s="120">
        <v>26.86</v>
      </c>
      <c r="L305" s="120">
        <v>677</v>
      </c>
      <c r="M305" s="120">
        <f t="shared" si="36"/>
        <v>703.86</v>
      </c>
      <c r="N305" s="380">
        <f t="shared" si="31"/>
        <v>0.0696646146409442</v>
      </c>
      <c r="O305" s="121"/>
    </row>
    <row r="306" s="109" customFormat="1" ht="30" customHeight="1" spans="1:15">
      <c r="A306" s="374">
        <v>2120201</v>
      </c>
      <c r="B306" s="199" t="s">
        <v>387</v>
      </c>
      <c r="C306" s="375" t="e">
        <f>SUM(#REF!)</f>
        <v>#REF!</v>
      </c>
      <c r="D306" s="120">
        <v>26.86</v>
      </c>
      <c r="E306" s="120">
        <v>676.51</v>
      </c>
      <c r="F306" s="120">
        <v>703.37</v>
      </c>
      <c r="G306" s="120">
        <v>0</v>
      </c>
      <c r="H306" s="120">
        <v>0</v>
      </c>
      <c r="I306" s="120">
        <v>0</v>
      </c>
      <c r="J306" s="120">
        <f t="shared" si="30"/>
        <v>0.490000000000009</v>
      </c>
      <c r="K306" s="120">
        <v>26.86</v>
      </c>
      <c r="L306" s="120">
        <v>677</v>
      </c>
      <c r="M306" s="120">
        <f t="shared" si="36"/>
        <v>703.86</v>
      </c>
      <c r="N306" s="380">
        <f t="shared" si="31"/>
        <v>0.0696646146409442</v>
      </c>
      <c r="O306" s="121"/>
    </row>
    <row r="307" s="109" customFormat="1" ht="30" customHeight="1" spans="1:15">
      <c r="A307" s="374">
        <v>21203</v>
      </c>
      <c r="B307" s="199" t="s">
        <v>388</v>
      </c>
      <c r="C307" s="375" t="e">
        <f t="shared" si="38"/>
        <v>#REF!</v>
      </c>
      <c r="D307" s="120">
        <v>10</v>
      </c>
      <c r="E307" s="120">
        <v>-4951</v>
      </c>
      <c r="F307" s="120">
        <v>-4941</v>
      </c>
      <c r="G307" s="120">
        <v>-2.23</v>
      </c>
      <c r="H307" s="120">
        <v>0</v>
      </c>
      <c r="I307" s="120">
        <v>0</v>
      </c>
      <c r="J307" s="120">
        <f t="shared" si="30"/>
        <v>5500</v>
      </c>
      <c r="K307" s="120">
        <v>7.77</v>
      </c>
      <c r="L307" s="120">
        <v>549</v>
      </c>
      <c r="M307" s="120">
        <f t="shared" si="36"/>
        <v>556.77</v>
      </c>
      <c r="N307" s="380">
        <f t="shared" si="31"/>
        <v>-111.268366727383</v>
      </c>
      <c r="O307" s="121"/>
    </row>
    <row r="308" s="109" customFormat="1" ht="30" customHeight="1" spans="1:15">
      <c r="A308" s="374">
        <v>2120399</v>
      </c>
      <c r="B308" s="199" t="s">
        <v>389</v>
      </c>
      <c r="C308" s="375" t="e">
        <f>SUM(#REF!)</f>
        <v>#REF!</v>
      </c>
      <c r="D308" s="120">
        <v>10</v>
      </c>
      <c r="E308" s="120">
        <v>-4951</v>
      </c>
      <c r="F308" s="120">
        <v>-4941</v>
      </c>
      <c r="G308" s="120">
        <v>-2.23</v>
      </c>
      <c r="H308" s="120">
        <v>0</v>
      </c>
      <c r="I308" s="120">
        <v>0</v>
      </c>
      <c r="J308" s="120">
        <f t="shared" si="30"/>
        <v>5500</v>
      </c>
      <c r="K308" s="120">
        <v>7.77</v>
      </c>
      <c r="L308" s="120">
        <v>549</v>
      </c>
      <c r="M308" s="120">
        <f t="shared" si="36"/>
        <v>556.77</v>
      </c>
      <c r="N308" s="380">
        <f t="shared" si="31"/>
        <v>-111.268366727383</v>
      </c>
      <c r="O308" s="121"/>
    </row>
    <row r="309" s="109" customFormat="1" ht="30" customHeight="1" spans="1:15">
      <c r="A309" s="374">
        <v>21205</v>
      </c>
      <c r="B309" s="199" t="s">
        <v>376</v>
      </c>
      <c r="C309" s="375" t="e">
        <f t="shared" si="38"/>
        <v>#REF!</v>
      </c>
      <c r="D309" s="120">
        <v>937.45</v>
      </c>
      <c r="E309" s="120">
        <v>851</v>
      </c>
      <c r="F309" s="120">
        <v>1788.45</v>
      </c>
      <c r="G309" s="120">
        <v>-523.65</v>
      </c>
      <c r="H309" s="120">
        <v>0</v>
      </c>
      <c r="I309" s="120">
        <v>9.3</v>
      </c>
      <c r="J309" s="120">
        <f t="shared" si="30"/>
        <v>-496</v>
      </c>
      <c r="K309" s="120">
        <v>423.1</v>
      </c>
      <c r="L309" s="120">
        <v>355</v>
      </c>
      <c r="M309" s="120">
        <f t="shared" si="36"/>
        <v>778.1</v>
      </c>
      <c r="N309" s="380">
        <f t="shared" si="31"/>
        <v>-56.4930526433504</v>
      </c>
      <c r="O309" s="375"/>
    </row>
    <row r="310" s="109" customFormat="1" ht="30" customHeight="1" spans="1:15">
      <c r="A310" s="374">
        <v>2120501</v>
      </c>
      <c r="B310" s="199" t="s">
        <v>376</v>
      </c>
      <c r="C310" s="375" t="e">
        <f>SUM(#REF!)</f>
        <v>#REF!</v>
      </c>
      <c r="D310" s="120">
        <v>937.45</v>
      </c>
      <c r="E310" s="120">
        <v>851</v>
      </c>
      <c r="F310" s="120">
        <v>1788.45</v>
      </c>
      <c r="G310" s="120">
        <v>-523.65</v>
      </c>
      <c r="H310" s="120">
        <v>0</v>
      </c>
      <c r="I310" s="120">
        <v>9.3</v>
      </c>
      <c r="J310" s="120">
        <f t="shared" si="30"/>
        <v>-496</v>
      </c>
      <c r="K310" s="120">
        <v>423.1</v>
      </c>
      <c r="L310" s="120">
        <v>355</v>
      </c>
      <c r="M310" s="120">
        <f t="shared" si="36"/>
        <v>778.1</v>
      </c>
      <c r="N310" s="380">
        <f t="shared" si="31"/>
        <v>-56.4930526433504</v>
      </c>
      <c r="O310" s="121" t="s">
        <v>390</v>
      </c>
    </row>
    <row r="311" s="109" customFormat="1" ht="30" customHeight="1" spans="1:15">
      <c r="A311" s="374">
        <v>21299</v>
      </c>
      <c r="B311" s="199" t="s">
        <v>391</v>
      </c>
      <c r="C311" s="375"/>
      <c r="D311" s="120"/>
      <c r="E311" s="120"/>
      <c r="F311" s="120">
        <v>0</v>
      </c>
      <c r="G311" s="120"/>
      <c r="H311" s="120"/>
      <c r="I311" s="120">
        <v>7.2</v>
      </c>
      <c r="J311" s="120">
        <f t="shared" si="30"/>
        <v>35</v>
      </c>
      <c r="K311" s="120">
        <v>7.2</v>
      </c>
      <c r="L311" s="120">
        <v>35</v>
      </c>
      <c r="M311" s="120">
        <f t="shared" si="36"/>
        <v>42.2</v>
      </c>
      <c r="N311" s="380"/>
      <c r="O311" s="121"/>
    </row>
    <row r="312" s="109" customFormat="1" ht="30" customHeight="1" spans="1:15">
      <c r="A312" s="374">
        <v>2129999</v>
      </c>
      <c r="B312" s="199" t="s">
        <v>391</v>
      </c>
      <c r="C312" s="375"/>
      <c r="D312" s="120"/>
      <c r="E312" s="120"/>
      <c r="F312" s="120">
        <v>0</v>
      </c>
      <c r="G312" s="120"/>
      <c r="H312" s="120"/>
      <c r="I312" s="120">
        <v>7.2</v>
      </c>
      <c r="J312" s="120">
        <f t="shared" si="30"/>
        <v>35</v>
      </c>
      <c r="K312" s="120">
        <v>7.2</v>
      </c>
      <c r="L312" s="120">
        <v>35</v>
      </c>
      <c r="M312" s="120">
        <f t="shared" si="36"/>
        <v>42.2</v>
      </c>
      <c r="N312" s="380"/>
      <c r="O312" s="121"/>
    </row>
    <row r="313" s="109" customFormat="1" ht="30" customHeight="1" spans="1:15">
      <c r="A313" s="374">
        <v>213</v>
      </c>
      <c r="B313" s="199" t="s">
        <v>392</v>
      </c>
      <c r="C313" s="375" t="e">
        <f t="shared" ref="C313:I313" si="39">C314+C325+C329+C340+C342+C345+C348</f>
        <v>#REF!</v>
      </c>
      <c r="D313" s="120">
        <f t="shared" si="39"/>
        <v>16417.635957</v>
      </c>
      <c r="E313" s="120">
        <v>7868.6489</v>
      </c>
      <c r="F313" s="120">
        <f>D313+E313</f>
        <v>24286.284857</v>
      </c>
      <c r="G313" s="120">
        <f t="shared" si="39"/>
        <v>-3656.400811</v>
      </c>
      <c r="H313" s="120">
        <f t="shared" si="39"/>
        <v>0</v>
      </c>
      <c r="I313" s="120">
        <f t="shared" si="39"/>
        <v>-100.558</v>
      </c>
      <c r="J313" s="120">
        <f t="shared" si="30"/>
        <v>-5952.6489</v>
      </c>
      <c r="K313" s="120">
        <v>12653.077146</v>
      </c>
      <c r="L313" s="120">
        <f>L314+L325+L329+L340+L342+L345+L348</f>
        <v>1916</v>
      </c>
      <c r="M313" s="120">
        <f t="shared" si="36"/>
        <v>14569.077146</v>
      </c>
      <c r="N313" s="380">
        <f t="shared" si="31"/>
        <v>-40.0110917261156</v>
      </c>
      <c r="O313" s="121"/>
    </row>
    <row r="314" s="109" customFormat="1" ht="30" customHeight="1" spans="1:15">
      <c r="A314" s="374">
        <v>21301</v>
      </c>
      <c r="B314" s="199" t="s">
        <v>393</v>
      </c>
      <c r="C314" s="375" t="e">
        <f>C315+C316+C317+C318+C319+0+C321+C323+C324</f>
        <v>#REF!</v>
      </c>
      <c r="D314" s="120">
        <v>1685.10183</v>
      </c>
      <c r="E314" s="120">
        <v>753.2836</v>
      </c>
      <c r="F314" s="120">
        <v>2438.38543</v>
      </c>
      <c r="G314" s="120">
        <v>-1152.047131</v>
      </c>
      <c r="H314" s="120">
        <v>0</v>
      </c>
      <c r="I314" s="120">
        <v>18.6011</v>
      </c>
      <c r="J314" s="120">
        <f t="shared" si="30"/>
        <v>-26.2836</v>
      </c>
      <c r="K314" s="120">
        <v>551.655799</v>
      </c>
      <c r="L314" s="120">
        <f>L320+L322+L324</f>
        <v>727</v>
      </c>
      <c r="M314" s="120">
        <f t="shared" si="36"/>
        <v>1278.655799</v>
      </c>
      <c r="N314" s="380">
        <f t="shared" si="31"/>
        <v>-47.5613747003073</v>
      </c>
      <c r="O314" s="121"/>
    </row>
    <row r="315" s="109" customFormat="1" ht="30" customHeight="1" spans="1:15">
      <c r="A315" s="374">
        <v>2130104</v>
      </c>
      <c r="B315" s="199" t="s">
        <v>97</v>
      </c>
      <c r="C315" s="375" t="e">
        <f>SUM(#REF!)</f>
        <v>#REF!</v>
      </c>
      <c r="D315" s="120">
        <v>222.18423</v>
      </c>
      <c r="E315" s="120">
        <v>0</v>
      </c>
      <c r="F315" s="120">
        <v>222.18423</v>
      </c>
      <c r="G315" s="120">
        <v>-17.237164</v>
      </c>
      <c r="H315" s="120">
        <v>0</v>
      </c>
      <c r="I315" s="120">
        <v>18.6011</v>
      </c>
      <c r="J315" s="120">
        <f t="shared" si="30"/>
        <v>0</v>
      </c>
      <c r="K315" s="120">
        <v>223.548166</v>
      </c>
      <c r="L315" s="120"/>
      <c r="M315" s="120">
        <f t="shared" si="36"/>
        <v>223.548166</v>
      </c>
      <c r="N315" s="380">
        <f t="shared" si="31"/>
        <v>0.613876151336211</v>
      </c>
      <c r="O315" s="121" t="s">
        <v>101</v>
      </c>
    </row>
    <row r="316" s="109" customFormat="1" ht="30" customHeight="1" spans="1:15">
      <c r="A316" s="374">
        <v>2130106</v>
      </c>
      <c r="B316" s="199" t="s">
        <v>394</v>
      </c>
      <c r="C316" s="375" t="e">
        <f>#REF!</f>
        <v>#REF!</v>
      </c>
      <c r="D316" s="120">
        <v>2</v>
      </c>
      <c r="E316" s="120">
        <v>200</v>
      </c>
      <c r="F316" s="120">
        <v>202</v>
      </c>
      <c r="G316" s="120">
        <v>-1</v>
      </c>
      <c r="H316" s="120">
        <v>0</v>
      </c>
      <c r="I316" s="120">
        <v>0</v>
      </c>
      <c r="J316" s="120">
        <f t="shared" si="30"/>
        <v>-200</v>
      </c>
      <c r="K316" s="120">
        <v>1</v>
      </c>
      <c r="L316" s="120"/>
      <c r="M316" s="120">
        <f t="shared" si="36"/>
        <v>1</v>
      </c>
      <c r="N316" s="380">
        <f t="shared" si="31"/>
        <v>-99.5049504950495</v>
      </c>
      <c r="O316" s="121"/>
    </row>
    <row r="317" s="109" customFormat="1" ht="30" customHeight="1" spans="1:15">
      <c r="A317" s="374">
        <v>2130108</v>
      </c>
      <c r="B317" s="199" t="s">
        <v>395</v>
      </c>
      <c r="C317" s="375" t="e">
        <f>SUM(#REF!)</f>
        <v>#REF!</v>
      </c>
      <c r="D317" s="120">
        <v>70.2</v>
      </c>
      <c r="E317" s="120">
        <v>0</v>
      </c>
      <c r="F317" s="120">
        <v>70.2</v>
      </c>
      <c r="G317" s="120">
        <v>-56</v>
      </c>
      <c r="H317" s="120">
        <v>0</v>
      </c>
      <c r="I317" s="120">
        <v>0</v>
      </c>
      <c r="J317" s="120">
        <f t="shared" si="30"/>
        <v>0</v>
      </c>
      <c r="K317" s="120">
        <v>14.2</v>
      </c>
      <c r="L317" s="120"/>
      <c r="M317" s="120">
        <f t="shared" si="36"/>
        <v>14.2</v>
      </c>
      <c r="N317" s="380">
        <f t="shared" si="31"/>
        <v>-79.7720797720798</v>
      </c>
      <c r="O317" s="121"/>
    </row>
    <row r="318" s="109" customFormat="1" ht="30" customHeight="1" spans="1:15">
      <c r="A318" s="374">
        <v>2130109</v>
      </c>
      <c r="B318" s="199" t="s">
        <v>396</v>
      </c>
      <c r="C318" s="375" t="e">
        <f>SUM(#REF!)</f>
        <v>#REF!</v>
      </c>
      <c r="D318" s="120">
        <v>2</v>
      </c>
      <c r="E318" s="120">
        <v>0</v>
      </c>
      <c r="F318" s="120">
        <v>2</v>
      </c>
      <c r="G318" s="120">
        <v>0</v>
      </c>
      <c r="H318" s="120">
        <v>0</v>
      </c>
      <c r="I318" s="120">
        <v>0</v>
      </c>
      <c r="J318" s="120">
        <f t="shared" si="30"/>
        <v>0</v>
      </c>
      <c r="K318" s="120">
        <v>2</v>
      </c>
      <c r="L318" s="120"/>
      <c r="M318" s="120">
        <f t="shared" si="36"/>
        <v>2</v>
      </c>
      <c r="N318" s="380">
        <f t="shared" si="31"/>
        <v>0</v>
      </c>
      <c r="O318" s="121"/>
    </row>
    <row r="319" s="109" customFormat="1" ht="30" customHeight="1" spans="1:15">
      <c r="A319" s="374">
        <v>2130110</v>
      </c>
      <c r="B319" s="199" t="s">
        <v>397</v>
      </c>
      <c r="C319" s="375" t="e">
        <f>#REF!+#REF!</f>
        <v>#REF!</v>
      </c>
      <c r="D319" s="120">
        <v>122</v>
      </c>
      <c r="E319" s="120">
        <v>0</v>
      </c>
      <c r="F319" s="120">
        <v>122</v>
      </c>
      <c r="G319" s="120">
        <v>-49.232367</v>
      </c>
      <c r="H319" s="120">
        <v>0</v>
      </c>
      <c r="I319" s="120">
        <v>0</v>
      </c>
      <c r="J319" s="120">
        <f t="shared" si="30"/>
        <v>0</v>
      </c>
      <c r="K319" s="120">
        <v>72.767633</v>
      </c>
      <c r="L319" s="120"/>
      <c r="M319" s="120">
        <f t="shared" si="36"/>
        <v>72.767633</v>
      </c>
      <c r="N319" s="380">
        <f t="shared" si="31"/>
        <v>-40.3543991803279</v>
      </c>
      <c r="O319" s="121"/>
    </row>
    <row r="320" s="109" customFormat="1" ht="30" customHeight="1" spans="1:15">
      <c r="A320" s="374">
        <v>2130126</v>
      </c>
      <c r="B320" s="199" t="s">
        <v>398</v>
      </c>
      <c r="C320" s="375"/>
      <c r="D320" s="120"/>
      <c r="E320" s="120"/>
      <c r="F320" s="120"/>
      <c r="G320" s="120"/>
      <c r="H320" s="120"/>
      <c r="I320" s="120"/>
      <c r="J320" s="120">
        <f t="shared" si="30"/>
        <v>384</v>
      </c>
      <c r="K320" s="120"/>
      <c r="L320" s="120">
        <v>384</v>
      </c>
      <c r="M320" s="120"/>
      <c r="N320" s="380"/>
      <c r="O320" s="121"/>
    </row>
    <row r="321" s="109" customFormat="1" ht="30" customHeight="1" spans="1:15">
      <c r="A321" s="374">
        <v>2130135</v>
      </c>
      <c r="B321" s="199" t="s">
        <v>399</v>
      </c>
      <c r="C321" s="375" t="e">
        <f>#REF!+0</f>
        <v>#REF!</v>
      </c>
      <c r="D321" s="120">
        <v>20</v>
      </c>
      <c r="E321" s="120">
        <v>0</v>
      </c>
      <c r="F321" s="120">
        <v>20</v>
      </c>
      <c r="G321" s="120">
        <v>-20</v>
      </c>
      <c r="H321" s="120">
        <v>0</v>
      </c>
      <c r="I321" s="120">
        <v>0</v>
      </c>
      <c r="J321" s="120">
        <f t="shared" si="30"/>
        <v>0</v>
      </c>
      <c r="K321" s="120">
        <v>0</v>
      </c>
      <c r="L321" s="120"/>
      <c r="M321" s="120">
        <f t="shared" ref="M321:M351" si="40">K321+L321</f>
        <v>0</v>
      </c>
      <c r="N321" s="380">
        <f t="shared" si="31"/>
        <v>-100</v>
      </c>
      <c r="O321" s="121"/>
    </row>
    <row r="322" s="109" customFormat="1" ht="30" customHeight="1" spans="1:15">
      <c r="A322" s="374">
        <v>2130148</v>
      </c>
      <c r="B322" s="199" t="s">
        <v>400</v>
      </c>
      <c r="C322" s="375"/>
      <c r="D322" s="120"/>
      <c r="E322" s="120"/>
      <c r="F322" s="120"/>
      <c r="G322" s="120"/>
      <c r="H322" s="120"/>
      <c r="I322" s="120"/>
      <c r="J322" s="120">
        <f t="shared" si="30"/>
        <v>86</v>
      </c>
      <c r="K322" s="120"/>
      <c r="L322" s="120">
        <v>86</v>
      </c>
      <c r="M322" s="120"/>
      <c r="N322" s="380"/>
      <c r="O322" s="121"/>
    </row>
    <row r="323" s="109" customFormat="1" ht="30" customHeight="1" spans="1:15">
      <c r="A323" s="374">
        <v>2130152</v>
      </c>
      <c r="B323" s="199" t="s">
        <v>401</v>
      </c>
      <c r="C323" s="375" t="e">
        <f>SUM(#REF!)</f>
        <v>#REF!</v>
      </c>
      <c r="D323" s="120">
        <v>60.73</v>
      </c>
      <c r="E323" s="120">
        <v>16.8</v>
      </c>
      <c r="F323" s="120">
        <v>77.53</v>
      </c>
      <c r="G323" s="120">
        <v>-57.33</v>
      </c>
      <c r="H323" s="120">
        <v>0</v>
      </c>
      <c r="I323" s="120">
        <v>0</v>
      </c>
      <c r="J323" s="120">
        <f t="shared" si="30"/>
        <v>-16.8</v>
      </c>
      <c r="K323" s="120">
        <v>3.4</v>
      </c>
      <c r="L323" s="120"/>
      <c r="M323" s="120">
        <f t="shared" si="40"/>
        <v>3.4</v>
      </c>
      <c r="N323" s="380">
        <f t="shared" si="31"/>
        <v>-95.6146007996904</v>
      </c>
      <c r="O323" s="121"/>
    </row>
    <row r="324" s="109" customFormat="1" ht="30" customHeight="1" spans="1:15">
      <c r="A324" s="374">
        <v>2130199</v>
      </c>
      <c r="B324" s="199" t="s">
        <v>402</v>
      </c>
      <c r="C324" s="375" t="e">
        <f>SUM(#REF!)</f>
        <v>#REF!</v>
      </c>
      <c r="D324" s="120">
        <v>1185.9876</v>
      </c>
      <c r="E324" s="120">
        <v>494.2136</v>
      </c>
      <c r="F324" s="120">
        <v>1680.2012</v>
      </c>
      <c r="G324" s="120">
        <v>-951.2476</v>
      </c>
      <c r="H324" s="120">
        <v>0</v>
      </c>
      <c r="I324" s="120">
        <v>0</v>
      </c>
      <c r="J324" s="120">
        <f t="shared" si="30"/>
        <v>-237.2136</v>
      </c>
      <c r="K324" s="120">
        <v>234.74</v>
      </c>
      <c r="L324" s="120">
        <v>257</v>
      </c>
      <c r="M324" s="120">
        <f t="shared" si="40"/>
        <v>491.74</v>
      </c>
      <c r="N324" s="380">
        <f t="shared" si="31"/>
        <v>-70.7332669444588</v>
      </c>
      <c r="O324" s="121"/>
    </row>
    <row r="325" s="109" customFormat="1" ht="30" customHeight="1" spans="1:15">
      <c r="A325" s="374">
        <v>21302</v>
      </c>
      <c r="B325" s="199" t="s">
        <v>403</v>
      </c>
      <c r="C325" s="375" t="e">
        <f>0+C326+C327+C328</f>
        <v>#REF!</v>
      </c>
      <c r="D325" s="120">
        <v>39.09</v>
      </c>
      <c r="E325" s="120">
        <v>217.18</v>
      </c>
      <c r="F325" s="120">
        <v>256.27</v>
      </c>
      <c r="G325" s="120">
        <v>-31.49</v>
      </c>
      <c r="H325" s="120">
        <v>0</v>
      </c>
      <c r="I325" s="120">
        <v>0</v>
      </c>
      <c r="J325" s="120">
        <f t="shared" si="30"/>
        <v>-120.18</v>
      </c>
      <c r="K325" s="120">
        <v>0</v>
      </c>
      <c r="L325" s="120">
        <f>L326+L328</f>
        <v>97</v>
      </c>
      <c r="M325" s="120">
        <f t="shared" si="40"/>
        <v>97</v>
      </c>
      <c r="N325" s="380">
        <f t="shared" si="31"/>
        <v>-62.1492956647286</v>
      </c>
      <c r="O325" s="121"/>
    </row>
    <row r="326" s="109" customFormat="1" ht="30" customHeight="1" spans="1:15">
      <c r="A326" s="374">
        <v>2130209</v>
      </c>
      <c r="B326" s="199" t="s">
        <v>404</v>
      </c>
      <c r="C326" s="375" t="e">
        <f>#REF!</f>
        <v>#REF!</v>
      </c>
      <c r="D326" s="120">
        <v>3.6</v>
      </c>
      <c r="E326" s="120">
        <v>210.34</v>
      </c>
      <c r="F326" s="120">
        <v>213.94</v>
      </c>
      <c r="G326" s="120">
        <v>-0.1</v>
      </c>
      <c r="H326" s="120">
        <v>0</v>
      </c>
      <c r="I326" s="120">
        <v>0</v>
      </c>
      <c r="J326" s="120">
        <f t="shared" ref="J326:J389" si="41">L326-E326</f>
        <v>-120.34</v>
      </c>
      <c r="K326" s="120">
        <v>3.5</v>
      </c>
      <c r="L326" s="120">
        <v>90</v>
      </c>
      <c r="M326" s="120">
        <f t="shared" si="40"/>
        <v>93.5</v>
      </c>
      <c r="N326" s="380">
        <f t="shared" ref="N326:N389" si="42">(M326-F326)/F326*100</f>
        <v>-56.2961578012527</v>
      </c>
      <c r="O326" s="375"/>
    </row>
    <row r="327" s="109" customFormat="1" ht="30" customHeight="1" spans="1:15">
      <c r="A327" s="374">
        <v>2130211</v>
      </c>
      <c r="B327" s="199" t="s">
        <v>405</v>
      </c>
      <c r="C327" s="375" t="e">
        <f>#REF!</f>
        <v>#REF!</v>
      </c>
      <c r="D327" s="120">
        <v>4</v>
      </c>
      <c r="E327" s="120">
        <v>0</v>
      </c>
      <c r="F327" s="120">
        <v>4</v>
      </c>
      <c r="G327" s="120">
        <v>0</v>
      </c>
      <c r="H327" s="120">
        <v>0</v>
      </c>
      <c r="I327" s="120">
        <v>0</v>
      </c>
      <c r="J327" s="120">
        <f t="shared" si="41"/>
        <v>0</v>
      </c>
      <c r="K327" s="120">
        <v>4</v>
      </c>
      <c r="L327" s="120"/>
      <c r="M327" s="120">
        <f t="shared" si="40"/>
        <v>4</v>
      </c>
      <c r="N327" s="380">
        <f t="shared" si="42"/>
        <v>0</v>
      </c>
      <c r="O327" s="375"/>
    </row>
    <row r="328" s="109" customFormat="1" ht="30" customHeight="1" spans="1:15">
      <c r="A328" s="374">
        <v>2130299</v>
      </c>
      <c r="B328" s="199" t="s">
        <v>406</v>
      </c>
      <c r="C328" s="375" t="e">
        <f>SUM(#REF!)</f>
        <v>#REF!</v>
      </c>
      <c r="D328" s="120">
        <v>31.49</v>
      </c>
      <c r="E328" s="120">
        <v>6.84</v>
      </c>
      <c r="F328" s="120">
        <v>38.33</v>
      </c>
      <c r="G328" s="120">
        <v>-31.49</v>
      </c>
      <c r="H328" s="120">
        <v>0</v>
      </c>
      <c r="I328" s="120">
        <v>0</v>
      </c>
      <c r="J328" s="120">
        <f t="shared" si="41"/>
        <v>0.16</v>
      </c>
      <c r="K328" s="120">
        <v>0</v>
      </c>
      <c r="L328" s="120">
        <v>7</v>
      </c>
      <c r="M328" s="120">
        <f t="shared" si="40"/>
        <v>7</v>
      </c>
      <c r="N328" s="380">
        <f t="shared" si="42"/>
        <v>-81.7375423949909</v>
      </c>
      <c r="O328" s="121"/>
    </row>
    <row r="329" s="109" customFormat="1" ht="30" customHeight="1" spans="1:15">
      <c r="A329" s="374">
        <v>21303</v>
      </c>
      <c r="B329" s="199" t="s">
        <v>407</v>
      </c>
      <c r="C329" s="375" t="e">
        <f>C330+C331+C332+C333+C334+C335+C336+#REF!+C338+C339+C337</f>
        <v>#REF!</v>
      </c>
      <c r="D329" s="120">
        <v>2060.6055</v>
      </c>
      <c r="E329" s="120">
        <v>185</v>
      </c>
      <c r="F329" s="120">
        <v>2245.6055</v>
      </c>
      <c r="G329" s="120">
        <v>-595.7748</v>
      </c>
      <c r="H329" s="120">
        <v>0</v>
      </c>
      <c r="I329" s="120">
        <v>15.29116</v>
      </c>
      <c r="J329" s="120">
        <f t="shared" si="41"/>
        <v>56</v>
      </c>
      <c r="K329" s="120">
        <v>1480.12186</v>
      </c>
      <c r="L329" s="120">
        <f>L332+L333</f>
        <v>241</v>
      </c>
      <c r="M329" s="120">
        <f t="shared" si="40"/>
        <v>1721.12186</v>
      </c>
      <c r="N329" s="380">
        <f t="shared" si="42"/>
        <v>-23.3560008648002</v>
      </c>
      <c r="O329" s="375"/>
    </row>
    <row r="330" s="109" customFormat="1" ht="30" customHeight="1" spans="1:15">
      <c r="A330" s="374">
        <v>2130301</v>
      </c>
      <c r="B330" s="199" t="s">
        <v>73</v>
      </c>
      <c r="C330" s="375" t="e">
        <f>SUM(#REF!)</f>
        <v>#REF!</v>
      </c>
      <c r="D330" s="120">
        <v>877.07533</v>
      </c>
      <c r="E330" s="120">
        <v>0</v>
      </c>
      <c r="F330" s="120">
        <v>877.07533</v>
      </c>
      <c r="G330" s="120">
        <v>-0.3627</v>
      </c>
      <c r="H330" s="120">
        <v>0</v>
      </c>
      <c r="I330" s="120">
        <v>5.12716</v>
      </c>
      <c r="J330" s="120">
        <f t="shared" si="41"/>
        <v>0</v>
      </c>
      <c r="K330" s="120">
        <v>881.83979</v>
      </c>
      <c r="L330" s="120"/>
      <c r="M330" s="120">
        <f t="shared" si="40"/>
        <v>881.83979</v>
      </c>
      <c r="N330" s="380">
        <f t="shared" si="42"/>
        <v>0.543221298904848</v>
      </c>
      <c r="O330" s="121" t="s">
        <v>74</v>
      </c>
    </row>
    <row r="331" s="109" customFormat="1" ht="30" customHeight="1" spans="1:15">
      <c r="A331" s="374">
        <v>2130304</v>
      </c>
      <c r="B331" s="199" t="s">
        <v>408</v>
      </c>
      <c r="C331" s="375" t="e">
        <f>SUM(#REF!)</f>
        <v>#REF!</v>
      </c>
      <c r="D331" s="120">
        <v>9.48</v>
      </c>
      <c r="E331" s="120">
        <v>0</v>
      </c>
      <c r="F331" s="120">
        <v>9.48</v>
      </c>
      <c r="G331" s="120">
        <v>0</v>
      </c>
      <c r="H331" s="120">
        <v>0</v>
      </c>
      <c r="I331" s="120">
        <v>0</v>
      </c>
      <c r="J331" s="120">
        <f t="shared" si="41"/>
        <v>0</v>
      </c>
      <c r="K331" s="120">
        <v>9.48</v>
      </c>
      <c r="L331" s="120"/>
      <c r="M331" s="120">
        <f t="shared" si="40"/>
        <v>9.48</v>
      </c>
      <c r="N331" s="380">
        <f t="shared" si="42"/>
        <v>0</v>
      </c>
      <c r="O331" s="121"/>
    </row>
    <row r="332" s="109" customFormat="1" ht="30" customHeight="1" spans="1:15">
      <c r="A332" s="374">
        <v>2130305</v>
      </c>
      <c r="B332" s="199" t="s">
        <v>409</v>
      </c>
      <c r="C332" s="375" t="e">
        <f>SUM(#REF!)</f>
        <v>#REF!</v>
      </c>
      <c r="D332" s="120">
        <v>921.615</v>
      </c>
      <c r="E332" s="120">
        <v>155</v>
      </c>
      <c r="F332" s="120">
        <v>1076.615</v>
      </c>
      <c r="G332" s="120">
        <v>-498.615</v>
      </c>
      <c r="H332" s="120">
        <v>0</v>
      </c>
      <c r="I332" s="120">
        <v>0</v>
      </c>
      <c r="J332" s="120">
        <f t="shared" si="41"/>
        <v>33</v>
      </c>
      <c r="K332" s="120">
        <v>423</v>
      </c>
      <c r="L332" s="120">
        <v>188</v>
      </c>
      <c r="M332" s="120">
        <f t="shared" si="40"/>
        <v>611</v>
      </c>
      <c r="N332" s="380">
        <f t="shared" si="42"/>
        <v>-43.2480506030475</v>
      </c>
      <c r="O332" s="121"/>
    </row>
    <row r="333" s="109" customFormat="1" ht="30" customHeight="1" spans="1:15">
      <c r="A333" s="374">
        <v>2130306</v>
      </c>
      <c r="B333" s="199" t="s">
        <v>410</v>
      </c>
      <c r="C333" s="375" t="e">
        <f>#REF!</f>
        <v>#REF!</v>
      </c>
      <c r="D333" s="120">
        <v>2</v>
      </c>
      <c r="E333" s="120">
        <v>0</v>
      </c>
      <c r="F333" s="120">
        <v>2</v>
      </c>
      <c r="G333" s="120">
        <v>0</v>
      </c>
      <c r="H333" s="120">
        <v>0</v>
      </c>
      <c r="I333" s="120">
        <v>0</v>
      </c>
      <c r="J333" s="120">
        <f t="shared" si="41"/>
        <v>53</v>
      </c>
      <c r="K333" s="120">
        <v>2</v>
      </c>
      <c r="L333" s="120">
        <v>53</v>
      </c>
      <c r="M333" s="120">
        <f t="shared" si="40"/>
        <v>55</v>
      </c>
      <c r="N333" s="380">
        <f t="shared" si="42"/>
        <v>2650</v>
      </c>
      <c r="O333" s="121"/>
    </row>
    <row r="334" s="109" customFormat="1" ht="30" customHeight="1" spans="1:15">
      <c r="A334" s="374">
        <v>2130308</v>
      </c>
      <c r="B334" s="199" t="s">
        <v>411</v>
      </c>
      <c r="C334" s="375" t="e">
        <f>#REF!</f>
        <v>#REF!</v>
      </c>
      <c r="D334" s="120">
        <v>20</v>
      </c>
      <c r="E334" s="120">
        <v>0</v>
      </c>
      <c r="F334" s="120">
        <v>20</v>
      </c>
      <c r="G334" s="120">
        <v>-20</v>
      </c>
      <c r="H334" s="120">
        <v>0</v>
      </c>
      <c r="I334" s="120">
        <v>0</v>
      </c>
      <c r="J334" s="120">
        <f t="shared" si="41"/>
        <v>0</v>
      </c>
      <c r="K334" s="120">
        <v>0</v>
      </c>
      <c r="L334" s="120"/>
      <c r="M334" s="120">
        <f t="shared" si="40"/>
        <v>0</v>
      </c>
      <c r="N334" s="380">
        <f t="shared" si="42"/>
        <v>-100</v>
      </c>
      <c r="O334" s="121"/>
    </row>
    <row r="335" s="109" customFormat="1" ht="30" customHeight="1" spans="1:15">
      <c r="A335" s="374">
        <v>2130310</v>
      </c>
      <c r="B335" s="199" t="s">
        <v>412</v>
      </c>
      <c r="C335" s="375" t="e">
        <f>#REF!+#REF!</f>
        <v>#REF!</v>
      </c>
      <c r="D335" s="120">
        <v>33.96</v>
      </c>
      <c r="E335" s="120">
        <v>0</v>
      </c>
      <c r="F335" s="120">
        <v>33.96</v>
      </c>
      <c r="G335" s="120">
        <v>-33.96</v>
      </c>
      <c r="H335" s="120">
        <v>0</v>
      </c>
      <c r="I335" s="120">
        <v>0</v>
      </c>
      <c r="J335" s="120">
        <f t="shared" si="41"/>
        <v>0</v>
      </c>
      <c r="K335" s="120">
        <v>0</v>
      </c>
      <c r="L335" s="120"/>
      <c r="M335" s="120">
        <f t="shared" si="40"/>
        <v>0</v>
      </c>
      <c r="N335" s="380">
        <f t="shared" si="42"/>
        <v>-100</v>
      </c>
      <c r="O335" s="121"/>
    </row>
    <row r="336" s="109" customFormat="1" ht="30" customHeight="1" spans="1:15">
      <c r="A336" s="374">
        <v>2130311</v>
      </c>
      <c r="B336" s="199" t="s">
        <v>413</v>
      </c>
      <c r="C336" s="375" t="e">
        <f>SUM(#REF!)</f>
        <v>#REF!</v>
      </c>
      <c r="D336" s="120">
        <v>26.824</v>
      </c>
      <c r="E336" s="120">
        <v>0</v>
      </c>
      <c r="F336" s="120">
        <v>26.824</v>
      </c>
      <c r="G336" s="120">
        <v>-22.824</v>
      </c>
      <c r="H336" s="120">
        <v>0</v>
      </c>
      <c r="I336" s="120">
        <v>0</v>
      </c>
      <c r="J336" s="120">
        <f t="shared" si="41"/>
        <v>0</v>
      </c>
      <c r="K336" s="120">
        <v>4</v>
      </c>
      <c r="L336" s="120"/>
      <c r="M336" s="120">
        <f t="shared" si="40"/>
        <v>4</v>
      </c>
      <c r="N336" s="380">
        <f t="shared" si="42"/>
        <v>-85.0879809126156</v>
      </c>
      <c r="O336" s="121"/>
    </row>
    <row r="337" s="109" customFormat="1" ht="30" customHeight="1" spans="1:15">
      <c r="A337" s="374">
        <v>2130314</v>
      </c>
      <c r="B337" s="199" t="s">
        <v>414</v>
      </c>
      <c r="C337" s="375" t="e">
        <f>SUM(#REF!)</f>
        <v>#REF!</v>
      </c>
      <c r="D337" s="120">
        <v>14.7</v>
      </c>
      <c r="E337" s="120">
        <v>0</v>
      </c>
      <c r="F337" s="120">
        <v>14.7</v>
      </c>
      <c r="G337" s="120">
        <v>-14.7</v>
      </c>
      <c r="H337" s="120">
        <v>0</v>
      </c>
      <c r="I337" s="120">
        <v>0</v>
      </c>
      <c r="J337" s="120">
        <f t="shared" si="41"/>
        <v>0</v>
      </c>
      <c r="K337" s="120">
        <v>0</v>
      </c>
      <c r="L337" s="120"/>
      <c r="M337" s="120">
        <f t="shared" si="40"/>
        <v>0</v>
      </c>
      <c r="N337" s="380">
        <f t="shared" si="42"/>
        <v>-100</v>
      </c>
      <c r="O337" s="121"/>
    </row>
    <row r="338" s="109" customFormat="1" ht="30" customHeight="1" spans="1:15">
      <c r="A338" s="374">
        <v>2130317</v>
      </c>
      <c r="B338" s="199" t="s">
        <v>415</v>
      </c>
      <c r="C338" s="375" t="e">
        <f>#REF!</f>
        <v>#REF!</v>
      </c>
      <c r="D338" s="120">
        <v>2</v>
      </c>
      <c r="E338" s="120">
        <v>0</v>
      </c>
      <c r="F338" s="120">
        <v>2</v>
      </c>
      <c r="G338" s="120">
        <v>0</v>
      </c>
      <c r="H338" s="120">
        <v>0</v>
      </c>
      <c r="I338" s="120">
        <v>0</v>
      </c>
      <c r="J338" s="120">
        <f t="shared" si="41"/>
        <v>0</v>
      </c>
      <c r="K338" s="120">
        <v>2</v>
      </c>
      <c r="L338" s="120"/>
      <c r="M338" s="120">
        <f t="shared" si="40"/>
        <v>2</v>
      </c>
      <c r="N338" s="380">
        <f t="shared" si="42"/>
        <v>0</v>
      </c>
      <c r="O338" s="121"/>
    </row>
    <row r="339" s="109" customFormat="1" ht="30" customHeight="1" spans="1:15">
      <c r="A339" s="374">
        <v>2130399</v>
      </c>
      <c r="B339" s="199" t="s">
        <v>416</v>
      </c>
      <c r="C339" s="375" t="e">
        <f>SUM(#REF!)</f>
        <v>#REF!</v>
      </c>
      <c r="D339" s="120">
        <v>152.95117</v>
      </c>
      <c r="E339" s="120">
        <v>0</v>
      </c>
      <c r="F339" s="120">
        <v>152.95117</v>
      </c>
      <c r="G339" s="120">
        <v>-5.3131</v>
      </c>
      <c r="H339" s="120">
        <v>0</v>
      </c>
      <c r="I339" s="120">
        <v>10.164</v>
      </c>
      <c r="J339" s="120">
        <f t="shared" si="41"/>
        <v>0</v>
      </c>
      <c r="K339" s="120">
        <v>157.80207</v>
      </c>
      <c r="L339" s="120"/>
      <c r="M339" s="120">
        <f t="shared" si="40"/>
        <v>157.80207</v>
      </c>
      <c r="N339" s="380">
        <f t="shared" si="42"/>
        <v>3.17153507227176</v>
      </c>
      <c r="O339" s="121" t="s">
        <v>74</v>
      </c>
    </row>
    <row r="340" s="109" customFormat="1" ht="30" customHeight="1" spans="1:15">
      <c r="A340" s="374">
        <v>21305</v>
      </c>
      <c r="B340" s="199" t="s">
        <v>417</v>
      </c>
      <c r="C340" s="375" t="e">
        <f>C341</f>
        <v>#REF!</v>
      </c>
      <c r="D340" s="120">
        <v>21.21</v>
      </c>
      <c r="E340" s="120">
        <v>0</v>
      </c>
      <c r="F340" s="120">
        <v>21.21</v>
      </c>
      <c r="G340" s="120">
        <v>-9.290707</v>
      </c>
      <c r="H340" s="120">
        <v>0</v>
      </c>
      <c r="I340" s="120">
        <v>0.45</v>
      </c>
      <c r="J340" s="120">
        <f t="shared" si="41"/>
        <v>200</v>
      </c>
      <c r="K340" s="120">
        <v>12.369293</v>
      </c>
      <c r="L340" s="120">
        <v>200</v>
      </c>
      <c r="M340" s="120">
        <f t="shared" si="40"/>
        <v>212.369293</v>
      </c>
      <c r="N340" s="380">
        <f t="shared" si="42"/>
        <v>901.269651107968</v>
      </c>
      <c r="O340" s="121"/>
    </row>
    <row r="341" s="109" customFormat="1" ht="30" customHeight="1" spans="1:15">
      <c r="A341" s="374">
        <v>2130599</v>
      </c>
      <c r="B341" s="199" t="s">
        <v>418</v>
      </c>
      <c r="C341" s="375" t="e">
        <f>SUM(#REF!)</f>
        <v>#REF!</v>
      </c>
      <c r="D341" s="120">
        <v>21.21</v>
      </c>
      <c r="E341" s="120">
        <v>0</v>
      </c>
      <c r="F341" s="120">
        <v>21.21</v>
      </c>
      <c r="G341" s="120">
        <v>-9.290707</v>
      </c>
      <c r="H341" s="120">
        <v>0</v>
      </c>
      <c r="I341" s="120">
        <v>0.45</v>
      </c>
      <c r="J341" s="120">
        <f t="shared" si="41"/>
        <v>200</v>
      </c>
      <c r="K341" s="120">
        <v>12.369293</v>
      </c>
      <c r="L341" s="120">
        <v>200</v>
      </c>
      <c r="M341" s="120">
        <f t="shared" si="40"/>
        <v>212.369293</v>
      </c>
      <c r="N341" s="380">
        <f t="shared" si="42"/>
        <v>901.269651107968</v>
      </c>
      <c r="O341" s="121"/>
    </row>
    <row r="342" s="109" customFormat="1" ht="30" customHeight="1" spans="1:15">
      <c r="A342" s="374">
        <v>21307</v>
      </c>
      <c r="B342" s="199" t="s">
        <v>419</v>
      </c>
      <c r="C342" s="375" t="e">
        <f>C343+#REF!+C344+0</f>
        <v>#REF!</v>
      </c>
      <c r="D342" s="120">
        <v>29.1</v>
      </c>
      <c r="E342" s="120">
        <v>1519.397</v>
      </c>
      <c r="F342" s="120">
        <v>1548.497</v>
      </c>
      <c r="G342" s="120">
        <v>-4.1</v>
      </c>
      <c r="H342" s="120">
        <v>0</v>
      </c>
      <c r="I342" s="120">
        <v>0</v>
      </c>
      <c r="J342" s="120">
        <f t="shared" si="41"/>
        <v>-1519.397</v>
      </c>
      <c r="K342" s="120">
        <v>25</v>
      </c>
      <c r="L342" s="120"/>
      <c r="M342" s="120">
        <f t="shared" si="40"/>
        <v>25</v>
      </c>
      <c r="N342" s="380">
        <f t="shared" si="42"/>
        <v>-98.3855312603124</v>
      </c>
      <c r="O342" s="121"/>
    </row>
    <row r="343" s="109" customFormat="1" ht="30" customHeight="1" spans="1:15">
      <c r="A343" s="374">
        <v>2130705</v>
      </c>
      <c r="B343" s="199" t="s">
        <v>420</v>
      </c>
      <c r="C343" s="375" t="e">
        <f>#REF!</f>
        <v>#REF!</v>
      </c>
      <c r="D343" s="120">
        <v>4.1</v>
      </c>
      <c r="E343" s="120">
        <v>1519.397</v>
      </c>
      <c r="F343" s="120">
        <v>1523.497</v>
      </c>
      <c r="G343" s="120">
        <v>-4.1</v>
      </c>
      <c r="H343" s="120">
        <v>0</v>
      </c>
      <c r="I343" s="120">
        <v>0</v>
      </c>
      <c r="J343" s="120">
        <f t="shared" si="41"/>
        <v>-1519.397</v>
      </c>
      <c r="K343" s="120">
        <v>0</v>
      </c>
      <c r="L343" s="120"/>
      <c r="M343" s="120">
        <f t="shared" si="40"/>
        <v>0</v>
      </c>
      <c r="N343" s="380">
        <f t="shared" si="42"/>
        <v>-100</v>
      </c>
      <c r="O343" s="121"/>
    </row>
    <row r="344" s="109" customFormat="1" ht="30" customHeight="1" spans="1:15">
      <c r="A344" s="374">
        <v>2130707</v>
      </c>
      <c r="B344" s="199" t="s">
        <v>421</v>
      </c>
      <c r="C344" s="375" t="e">
        <f>#REF!</f>
        <v>#REF!</v>
      </c>
      <c r="D344" s="120">
        <v>25</v>
      </c>
      <c r="E344" s="120">
        <v>0</v>
      </c>
      <c r="F344" s="120">
        <v>25</v>
      </c>
      <c r="G344" s="120">
        <v>0</v>
      </c>
      <c r="H344" s="120">
        <v>0</v>
      </c>
      <c r="I344" s="120">
        <v>0</v>
      </c>
      <c r="J344" s="120">
        <f t="shared" si="41"/>
        <v>0</v>
      </c>
      <c r="K344" s="120">
        <v>25</v>
      </c>
      <c r="L344" s="120"/>
      <c r="M344" s="120">
        <f t="shared" si="40"/>
        <v>25</v>
      </c>
      <c r="N344" s="380">
        <f t="shared" si="42"/>
        <v>0</v>
      </c>
      <c r="O344" s="121"/>
    </row>
    <row r="345" s="109" customFormat="1" ht="30" customHeight="1" spans="1:15">
      <c r="A345" s="374">
        <v>21308</v>
      </c>
      <c r="B345" s="199" t="s">
        <v>422</v>
      </c>
      <c r="C345" s="375" t="e">
        <f>C346+C347</f>
        <v>#REF!</v>
      </c>
      <c r="D345" s="120">
        <v>28.8</v>
      </c>
      <c r="E345" s="120">
        <v>0</v>
      </c>
      <c r="F345" s="120">
        <v>28.8</v>
      </c>
      <c r="G345" s="120">
        <v>-28.728</v>
      </c>
      <c r="H345" s="120">
        <v>0</v>
      </c>
      <c r="I345" s="120">
        <v>0</v>
      </c>
      <c r="J345" s="120">
        <f t="shared" si="41"/>
        <v>0</v>
      </c>
      <c r="K345" s="120">
        <v>0.072</v>
      </c>
      <c r="L345" s="120"/>
      <c r="M345" s="120">
        <f t="shared" si="40"/>
        <v>0.072</v>
      </c>
      <c r="N345" s="380">
        <f t="shared" si="42"/>
        <v>-99.75</v>
      </c>
      <c r="O345" s="121"/>
    </row>
    <row r="346" s="109" customFormat="1" ht="30" customHeight="1" spans="1:15">
      <c r="A346" s="374">
        <v>2130803</v>
      </c>
      <c r="B346" s="199" t="s">
        <v>423</v>
      </c>
      <c r="C346" s="375" t="e">
        <f>#REF!+#REF!</f>
        <v>#REF!</v>
      </c>
      <c r="D346" s="120">
        <v>19.8</v>
      </c>
      <c r="E346" s="120">
        <v>0</v>
      </c>
      <c r="F346" s="120">
        <v>19.8</v>
      </c>
      <c r="G346" s="120">
        <v>-19.728</v>
      </c>
      <c r="H346" s="120">
        <v>0</v>
      </c>
      <c r="I346" s="120">
        <v>0</v>
      </c>
      <c r="J346" s="120">
        <f t="shared" si="41"/>
        <v>0</v>
      </c>
      <c r="K346" s="120">
        <v>0.072</v>
      </c>
      <c r="L346" s="120"/>
      <c r="M346" s="120">
        <f t="shared" si="40"/>
        <v>0.072</v>
      </c>
      <c r="N346" s="380">
        <f t="shared" si="42"/>
        <v>-99.6363636363636</v>
      </c>
      <c r="O346" s="121"/>
    </row>
    <row r="347" s="109" customFormat="1" ht="30" customHeight="1" spans="1:15">
      <c r="A347" s="374">
        <v>2130804</v>
      </c>
      <c r="B347" s="199" t="s">
        <v>424</v>
      </c>
      <c r="C347" s="375" t="e">
        <f>#REF!</f>
        <v>#REF!</v>
      </c>
      <c r="D347" s="120">
        <v>9</v>
      </c>
      <c r="E347" s="120">
        <v>0</v>
      </c>
      <c r="F347" s="120">
        <v>9</v>
      </c>
      <c r="G347" s="120">
        <v>-9</v>
      </c>
      <c r="H347" s="120">
        <v>0</v>
      </c>
      <c r="I347" s="120">
        <v>0</v>
      </c>
      <c r="J347" s="120">
        <f t="shared" si="41"/>
        <v>0</v>
      </c>
      <c r="K347" s="120">
        <v>0</v>
      </c>
      <c r="L347" s="120"/>
      <c r="M347" s="120">
        <f t="shared" si="40"/>
        <v>0</v>
      </c>
      <c r="N347" s="380">
        <f t="shared" si="42"/>
        <v>-100</v>
      </c>
      <c r="O347" s="375"/>
    </row>
    <row r="348" s="109" customFormat="1" ht="30" customHeight="1" spans="1:15">
      <c r="A348" s="374">
        <v>21399</v>
      </c>
      <c r="B348" s="199" t="s">
        <v>425</v>
      </c>
      <c r="C348" s="375" t="e">
        <f>C349</f>
        <v>#REF!</v>
      </c>
      <c r="D348" s="120">
        <v>12553.728627</v>
      </c>
      <c r="E348" s="120">
        <v>5193.7883</v>
      </c>
      <c r="F348" s="120">
        <v>17747.516927</v>
      </c>
      <c r="G348" s="120">
        <v>-1834.970173</v>
      </c>
      <c r="H348" s="120">
        <v>0</v>
      </c>
      <c r="I348" s="120">
        <v>-134.90026</v>
      </c>
      <c r="J348" s="120">
        <f t="shared" si="41"/>
        <v>-4542.7883</v>
      </c>
      <c r="K348" s="120">
        <v>10583.858194</v>
      </c>
      <c r="L348" s="120">
        <v>651</v>
      </c>
      <c r="M348" s="120">
        <f t="shared" si="40"/>
        <v>11234.858194</v>
      </c>
      <c r="N348" s="380">
        <f t="shared" si="42"/>
        <v>-36.6961685952362</v>
      </c>
      <c r="O348" s="121"/>
    </row>
    <row r="349" s="109" customFormat="1" ht="30" customHeight="1" spans="1:15">
      <c r="A349" s="374">
        <v>2139999</v>
      </c>
      <c r="B349" s="199" t="s">
        <v>425</v>
      </c>
      <c r="C349" s="375" t="e">
        <f>SUM(#REF!)</f>
        <v>#REF!</v>
      </c>
      <c r="D349" s="120">
        <v>12553.728627</v>
      </c>
      <c r="E349" s="120">
        <v>5193.7883</v>
      </c>
      <c r="F349" s="120">
        <v>17747.516927</v>
      </c>
      <c r="G349" s="120">
        <v>-1834.970173</v>
      </c>
      <c r="H349" s="120">
        <v>0</v>
      </c>
      <c r="I349" s="120">
        <v>-134.90026</v>
      </c>
      <c r="J349" s="120">
        <f t="shared" si="41"/>
        <v>-4542.7883</v>
      </c>
      <c r="K349" s="120">
        <v>10583.858194</v>
      </c>
      <c r="L349" s="120">
        <v>651</v>
      </c>
      <c r="M349" s="120">
        <f t="shared" si="40"/>
        <v>11234.858194</v>
      </c>
      <c r="N349" s="380">
        <f t="shared" si="42"/>
        <v>-36.6961685952362</v>
      </c>
      <c r="O349" s="121"/>
    </row>
    <row r="350" s="109" customFormat="1" ht="30" customHeight="1" spans="1:15">
      <c r="A350" s="374">
        <v>214</v>
      </c>
      <c r="B350" s="199" t="s">
        <v>426</v>
      </c>
      <c r="C350" s="375" t="e">
        <f t="shared" ref="C350:I350" si="43">C351</f>
        <v>#REF!</v>
      </c>
      <c r="D350" s="120">
        <f t="shared" si="43"/>
        <v>78.43</v>
      </c>
      <c r="E350" s="120">
        <v>8508</v>
      </c>
      <c r="F350" s="120">
        <f>D350+E350</f>
        <v>8586.43</v>
      </c>
      <c r="G350" s="120">
        <f t="shared" si="43"/>
        <v>-0.67</v>
      </c>
      <c r="H350" s="120">
        <f t="shared" si="43"/>
        <v>0</v>
      </c>
      <c r="I350" s="120">
        <f t="shared" si="43"/>
        <v>2.8</v>
      </c>
      <c r="J350" s="120">
        <f t="shared" si="41"/>
        <v>4992</v>
      </c>
      <c r="K350" s="120">
        <v>80.56</v>
      </c>
      <c r="L350" s="120">
        <f>L351+L354</f>
        <v>13500</v>
      </c>
      <c r="M350" s="120">
        <f t="shared" si="40"/>
        <v>13580.56</v>
      </c>
      <c r="N350" s="380">
        <f t="shared" si="42"/>
        <v>58.1630549599775</v>
      </c>
      <c r="O350" s="121"/>
    </row>
    <row r="351" s="109" customFormat="1" ht="30" customHeight="1" spans="1:15">
      <c r="A351" s="374">
        <v>21401</v>
      </c>
      <c r="B351" s="199" t="s">
        <v>427</v>
      </c>
      <c r="C351" s="375" t="e">
        <f>C353</f>
        <v>#REF!</v>
      </c>
      <c r="D351" s="120">
        <v>78.43</v>
      </c>
      <c r="E351" s="120">
        <v>6008</v>
      </c>
      <c r="F351" s="120">
        <v>6086.43</v>
      </c>
      <c r="G351" s="120">
        <v>-0.67</v>
      </c>
      <c r="H351" s="120">
        <v>0</v>
      </c>
      <c r="I351" s="120">
        <v>2.8</v>
      </c>
      <c r="J351" s="120">
        <f t="shared" si="41"/>
        <v>4992</v>
      </c>
      <c r="K351" s="120">
        <v>80.56</v>
      </c>
      <c r="L351" s="120">
        <v>11000</v>
      </c>
      <c r="M351" s="120">
        <f t="shared" si="40"/>
        <v>11080.56</v>
      </c>
      <c r="N351" s="380">
        <f t="shared" si="42"/>
        <v>82.0535190579699</v>
      </c>
      <c r="O351" s="121"/>
    </row>
    <row r="352" s="109" customFormat="1" ht="30" customHeight="1" spans="1:15">
      <c r="A352" s="374">
        <v>2140104</v>
      </c>
      <c r="B352" s="199" t="s">
        <v>428</v>
      </c>
      <c r="C352" s="375"/>
      <c r="D352" s="120"/>
      <c r="E352" s="120"/>
      <c r="F352" s="120"/>
      <c r="G352" s="120"/>
      <c r="H352" s="120"/>
      <c r="I352" s="120"/>
      <c r="J352" s="120">
        <f t="shared" si="41"/>
        <v>11000</v>
      </c>
      <c r="K352" s="120"/>
      <c r="L352" s="120">
        <v>11000</v>
      </c>
      <c r="M352" s="120"/>
      <c r="N352" s="380"/>
      <c r="O352" s="121"/>
    </row>
    <row r="353" s="109" customFormat="1" ht="30" customHeight="1" spans="1:15">
      <c r="A353" s="374">
        <v>2140199</v>
      </c>
      <c r="B353" s="199" t="s">
        <v>429</v>
      </c>
      <c r="C353" s="375" t="e">
        <f>SUM(#REF!)</f>
        <v>#REF!</v>
      </c>
      <c r="D353" s="120">
        <v>78.43</v>
      </c>
      <c r="E353" s="120">
        <v>8</v>
      </c>
      <c r="F353" s="120">
        <v>86.43</v>
      </c>
      <c r="G353" s="120">
        <v>-0.67</v>
      </c>
      <c r="H353" s="120">
        <v>0</v>
      </c>
      <c r="I353" s="120">
        <v>2.8</v>
      </c>
      <c r="J353" s="120">
        <f t="shared" si="41"/>
        <v>-8</v>
      </c>
      <c r="K353" s="120">
        <v>80.56</v>
      </c>
      <c r="L353" s="120"/>
      <c r="M353" s="120">
        <f t="shared" ref="M353:M360" si="44">K353+L353</f>
        <v>80.56</v>
      </c>
      <c r="N353" s="380">
        <f t="shared" si="42"/>
        <v>-6.79162327895407</v>
      </c>
      <c r="O353" s="121"/>
    </row>
    <row r="354" s="109" customFormat="1" ht="30" customHeight="1" spans="1:15">
      <c r="A354" s="374">
        <v>21406</v>
      </c>
      <c r="B354" s="199" t="s">
        <v>430</v>
      </c>
      <c r="C354" s="375"/>
      <c r="D354" s="120"/>
      <c r="E354" s="120"/>
      <c r="F354" s="120"/>
      <c r="G354" s="120"/>
      <c r="H354" s="120"/>
      <c r="I354" s="120"/>
      <c r="J354" s="120">
        <f t="shared" si="41"/>
        <v>2500</v>
      </c>
      <c r="K354" s="120"/>
      <c r="L354" s="120">
        <v>2500</v>
      </c>
      <c r="M354" s="120"/>
      <c r="N354" s="380"/>
      <c r="O354" s="121"/>
    </row>
    <row r="355" s="109" customFormat="1" ht="30" customHeight="1" spans="1:15">
      <c r="A355" s="374">
        <v>2140601</v>
      </c>
      <c r="B355" s="199" t="s">
        <v>431</v>
      </c>
      <c r="C355" s="375"/>
      <c r="D355" s="120"/>
      <c r="E355" s="120"/>
      <c r="F355" s="120"/>
      <c r="G355" s="120"/>
      <c r="H355" s="120"/>
      <c r="I355" s="120"/>
      <c r="J355" s="120">
        <f t="shared" si="41"/>
        <v>2500</v>
      </c>
      <c r="K355" s="120"/>
      <c r="L355" s="120">
        <v>2500</v>
      </c>
      <c r="M355" s="120"/>
      <c r="N355" s="380"/>
      <c r="O355" s="121"/>
    </row>
    <row r="356" s="109" customFormat="1" ht="30" customHeight="1" spans="1:15">
      <c r="A356" s="374">
        <v>215</v>
      </c>
      <c r="B356" s="199" t="s">
        <v>432</v>
      </c>
      <c r="C356" s="375" t="e">
        <f t="shared" ref="C356:I356" si="45">C357</f>
        <v>#REF!</v>
      </c>
      <c r="D356" s="120">
        <f t="shared" si="45"/>
        <v>415.07</v>
      </c>
      <c r="E356" s="120">
        <v>525.4879</v>
      </c>
      <c r="F356" s="120">
        <f>D356+E356</f>
        <v>940.5579</v>
      </c>
      <c r="G356" s="120">
        <f t="shared" si="45"/>
        <v>-24.725</v>
      </c>
      <c r="H356" s="120">
        <f t="shared" si="45"/>
        <v>0</v>
      </c>
      <c r="I356" s="120">
        <f t="shared" si="45"/>
        <v>5.43</v>
      </c>
      <c r="J356" s="120">
        <f t="shared" si="41"/>
        <v>106.5121</v>
      </c>
      <c r="K356" s="120">
        <v>395.775</v>
      </c>
      <c r="L356" s="120">
        <f>L357+L361</f>
        <v>632</v>
      </c>
      <c r="M356" s="120">
        <f t="shared" si="44"/>
        <v>1027.775</v>
      </c>
      <c r="N356" s="380">
        <f t="shared" si="42"/>
        <v>9.27291132209937</v>
      </c>
      <c r="O356" s="121"/>
    </row>
    <row r="357" s="109" customFormat="1" ht="30" customHeight="1" spans="1:15">
      <c r="A357" s="374">
        <v>21505</v>
      </c>
      <c r="B357" s="199" t="s">
        <v>433</v>
      </c>
      <c r="C357" s="375" t="e">
        <f>C358+#REF!+C359+C360</f>
        <v>#REF!</v>
      </c>
      <c r="D357" s="120">
        <v>415.07</v>
      </c>
      <c r="E357" s="120">
        <v>0</v>
      </c>
      <c r="F357" s="120">
        <v>415.07</v>
      </c>
      <c r="G357" s="120">
        <v>-24.725</v>
      </c>
      <c r="H357" s="120">
        <v>0</v>
      </c>
      <c r="I357" s="120">
        <v>5.43</v>
      </c>
      <c r="J357" s="120">
        <f t="shared" si="41"/>
        <v>487</v>
      </c>
      <c r="K357" s="120">
        <v>395.775</v>
      </c>
      <c r="L357" s="120">
        <f>L360</f>
        <v>487</v>
      </c>
      <c r="M357" s="120">
        <f t="shared" si="44"/>
        <v>882.775</v>
      </c>
      <c r="N357" s="380">
        <f t="shared" si="42"/>
        <v>112.68099356735</v>
      </c>
      <c r="O357" s="121"/>
    </row>
    <row r="358" s="109" customFormat="1" ht="30" customHeight="1" spans="1:15">
      <c r="A358" s="374">
        <v>2150501</v>
      </c>
      <c r="B358" s="199" t="s">
        <v>73</v>
      </c>
      <c r="C358" s="375" t="e">
        <f>SUM(#REF!)</f>
        <v>#REF!</v>
      </c>
      <c r="D358" s="120">
        <v>186.02</v>
      </c>
      <c r="E358" s="120">
        <v>0</v>
      </c>
      <c r="F358" s="120">
        <v>186.02</v>
      </c>
      <c r="G358" s="120">
        <v>-8.525</v>
      </c>
      <c r="H358" s="120">
        <v>0</v>
      </c>
      <c r="I358" s="120">
        <v>2.32</v>
      </c>
      <c r="J358" s="120">
        <f t="shared" si="41"/>
        <v>0</v>
      </c>
      <c r="K358" s="120">
        <v>179.815</v>
      </c>
      <c r="L358" s="120"/>
      <c r="M358" s="120">
        <f t="shared" si="44"/>
        <v>179.815</v>
      </c>
      <c r="N358" s="380">
        <f t="shared" si="42"/>
        <v>-3.33566283195356</v>
      </c>
      <c r="O358" s="121"/>
    </row>
    <row r="359" s="109" customFormat="1" ht="30" customHeight="1" spans="1:15">
      <c r="A359" s="374" t="s">
        <v>434</v>
      </c>
      <c r="B359" s="199" t="s">
        <v>435</v>
      </c>
      <c r="C359" s="375" t="e">
        <f>#REF!+0</f>
        <v>#REF!</v>
      </c>
      <c r="D359" s="120">
        <v>73</v>
      </c>
      <c r="E359" s="120">
        <v>0</v>
      </c>
      <c r="F359" s="120">
        <v>73</v>
      </c>
      <c r="G359" s="120">
        <v>0</v>
      </c>
      <c r="H359" s="120">
        <v>0</v>
      </c>
      <c r="I359" s="120">
        <v>0</v>
      </c>
      <c r="J359" s="120">
        <f t="shared" si="41"/>
        <v>0</v>
      </c>
      <c r="K359" s="120">
        <v>73</v>
      </c>
      <c r="L359" s="120"/>
      <c r="M359" s="120">
        <f t="shared" si="44"/>
        <v>73</v>
      </c>
      <c r="N359" s="380">
        <f t="shared" si="42"/>
        <v>0</v>
      </c>
      <c r="O359" s="121"/>
    </row>
    <row r="360" s="109" customFormat="1" ht="30" customHeight="1" spans="1:15">
      <c r="A360" s="374">
        <v>2150599</v>
      </c>
      <c r="B360" s="199" t="s">
        <v>436</v>
      </c>
      <c r="C360" s="375" t="e">
        <f>SUM(#REF!)</f>
        <v>#REF!</v>
      </c>
      <c r="D360" s="120">
        <v>156.05</v>
      </c>
      <c r="E360" s="120">
        <v>0</v>
      </c>
      <c r="F360" s="120">
        <v>156.05</v>
      </c>
      <c r="G360" s="120">
        <v>-16.2</v>
      </c>
      <c r="H360" s="120">
        <v>0</v>
      </c>
      <c r="I360" s="120">
        <v>3.11</v>
      </c>
      <c r="J360" s="120">
        <f t="shared" si="41"/>
        <v>487</v>
      </c>
      <c r="K360" s="120">
        <v>142.96</v>
      </c>
      <c r="L360" s="120">
        <v>487</v>
      </c>
      <c r="M360" s="120">
        <f t="shared" si="44"/>
        <v>629.96</v>
      </c>
      <c r="N360" s="380">
        <f t="shared" si="42"/>
        <v>303.691124639539</v>
      </c>
      <c r="O360" s="375" t="s">
        <v>101</v>
      </c>
    </row>
    <row r="361" s="109" customFormat="1" ht="30" customHeight="1" spans="1:15">
      <c r="A361" s="374">
        <v>21508</v>
      </c>
      <c r="B361" s="199" t="s">
        <v>437</v>
      </c>
      <c r="C361" s="375"/>
      <c r="D361" s="120"/>
      <c r="E361" s="120"/>
      <c r="F361" s="120"/>
      <c r="G361" s="120"/>
      <c r="H361" s="120"/>
      <c r="I361" s="120"/>
      <c r="J361" s="120">
        <f t="shared" si="41"/>
        <v>145</v>
      </c>
      <c r="K361" s="120"/>
      <c r="L361" s="120">
        <v>145</v>
      </c>
      <c r="M361" s="120"/>
      <c r="N361" s="380"/>
      <c r="O361" s="375"/>
    </row>
    <row r="362" s="109" customFormat="1" ht="30" customHeight="1" spans="1:15">
      <c r="A362" s="374">
        <v>2150805</v>
      </c>
      <c r="B362" s="199" t="s">
        <v>438</v>
      </c>
      <c r="C362" s="375"/>
      <c r="D362" s="120"/>
      <c r="E362" s="120"/>
      <c r="F362" s="120"/>
      <c r="G362" s="120"/>
      <c r="H362" s="120"/>
      <c r="I362" s="120"/>
      <c r="J362" s="120">
        <f t="shared" si="41"/>
        <v>145</v>
      </c>
      <c r="K362" s="120"/>
      <c r="L362" s="120">
        <v>145</v>
      </c>
      <c r="M362" s="120"/>
      <c r="N362" s="380"/>
      <c r="O362" s="375"/>
    </row>
    <row r="363" s="109" customFormat="1" ht="30" customHeight="1" spans="1:15">
      <c r="A363" s="374">
        <v>216</v>
      </c>
      <c r="B363" s="199" t="s">
        <v>439</v>
      </c>
      <c r="C363" s="375" t="e">
        <f t="shared" ref="C363:I363" si="46">C364+C366+C368</f>
        <v>#REF!</v>
      </c>
      <c r="D363" s="120">
        <f t="shared" si="46"/>
        <v>548.86</v>
      </c>
      <c r="E363" s="120">
        <v>279.019332</v>
      </c>
      <c r="F363" s="120">
        <f>D363+E363</f>
        <v>827.879332</v>
      </c>
      <c r="G363" s="120">
        <f t="shared" si="46"/>
        <v>-408</v>
      </c>
      <c r="H363" s="120">
        <f t="shared" si="46"/>
        <v>0</v>
      </c>
      <c r="I363" s="120">
        <f t="shared" si="46"/>
        <v>51.2</v>
      </c>
      <c r="J363" s="120">
        <f t="shared" si="41"/>
        <v>-146.019332</v>
      </c>
      <c r="K363" s="120">
        <v>192.06</v>
      </c>
      <c r="L363" s="120">
        <f>L364+L366+L368</f>
        <v>133</v>
      </c>
      <c r="M363" s="120">
        <f t="shared" ref="M363:M377" si="47">K363+L363</f>
        <v>325.06</v>
      </c>
      <c r="N363" s="380">
        <f t="shared" si="42"/>
        <v>-60.7358237564989</v>
      </c>
      <c r="O363" s="121"/>
    </row>
    <row r="364" s="109" customFormat="1" ht="30" customHeight="1" spans="1:15">
      <c r="A364" s="374">
        <v>21602</v>
      </c>
      <c r="B364" s="199" t="s">
        <v>440</v>
      </c>
      <c r="C364" s="375" t="e">
        <f t="shared" ref="C364:C368" si="48">C365</f>
        <v>#REF!</v>
      </c>
      <c r="D364" s="120">
        <v>133.29</v>
      </c>
      <c r="E364" s="120">
        <v>0</v>
      </c>
      <c r="F364" s="120">
        <v>133.29</v>
      </c>
      <c r="G364" s="120">
        <v>-2</v>
      </c>
      <c r="H364" s="120">
        <v>0</v>
      </c>
      <c r="I364" s="120">
        <v>8.21</v>
      </c>
      <c r="J364" s="120">
        <f t="shared" si="41"/>
        <v>0</v>
      </c>
      <c r="K364" s="120">
        <v>139.5</v>
      </c>
      <c r="L364" s="120"/>
      <c r="M364" s="120">
        <f t="shared" si="47"/>
        <v>139.5</v>
      </c>
      <c r="N364" s="380">
        <f t="shared" si="42"/>
        <v>4.65901417960838</v>
      </c>
      <c r="O364" s="121"/>
    </row>
    <row r="365" s="109" customFormat="1" ht="30" customHeight="1" spans="1:15">
      <c r="A365" s="374">
        <v>2160299</v>
      </c>
      <c r="B365" s="199" t="s">
        <v>441</v>
      </c>
      <c r="C365" s="375" t="e">
        <f>SUM(#REF!)</f>
        <v>#REF!</v>
      </c>
      <c r="D365" s="120">
        <v>133.29</v>
      </c>
      <c r="E365" s="120">
        <v>0</v>
      </c>
      <c r="F365" s="120">
        <v>133.29</v>
      </c>
      <c r="G365" s="120">
        <v>-2</v>
      </c>
      <c r="H365" s="120">
        <v>0</v>
      </c>
      <c r="I365" s="120">
        <v>8.21</v>
      </c>
      <c r="J365" s="120">
        <f t="shared" si="41"/>
        <v>0</v>
      </c>
      <c r="K365" s="120">
        <v>139.5</v>
      </c>
      <c r="L365" s="120"/>
      <c r="M365" s="120">
        <f t="shared" si="47"/>
        <v>139.5</v>
      </c>
      <c r="N365" s="380">
        <f t="shared" si="42"/>
        <v>4.65901417960838</v>
      </c>
      <c r="O365" s="121" t="s">
        <v>88</v>
      </c>
    </row>
    <row r="366" s="109" customFormat="1" ht="30" customHeight="1" spans="1:15">
      <c r="A366" s="374">
        <v>21606</v>
      </c>
      <c r="B366" s="199" t="s">
        <v>442</v>
      </c>
      <c r="C366" s="375" t="e">
        <f t="shared" si="48"/>
        <v>#REF!</v>
      </c>
      <c r="D366" s="120">
        <v>3.69</v>
      </c>
      <c r="E366" s="120">
        <v>279.019332</v>
      </c>
      <c r="F366" s="120">
        <v>282.709332</v>
      </c>
      <c r="G366" s="120">
        <v>0</v>
      </c>
      <c r="H366" s="120">
        <v>0</v>
      </c>
      <c r="I366" s="120">
        <v>42.99</v>
      </c>
      <c r="J366" s="120">
        <f t="shared" si="41"/>
        <v>-146.019332</v>
      </c>
      <c r="K366" s="120">
        <v>46.68</v>
      </c>
      <c r="L366" s="120">
        <v>133</v>
      </c>
      <c r="M366" s="120">
        <f t="shared" si="47"/>
        <v>179.68</v>
      </c>
      <c r="N366" s="380">
        <f t="shared" si="42"/>
        <v>-36.4435553899579</v>
      </c>
      <c r="O366" s="121"/>
    </row>
    <row r="367" s="109" customFormat="1" ht="30" customHeight="1" spans="1:15">
      <c r="A367" s="374">
        <v>2160699</v>
      </c>
      <c r="B367" s="199" t="s">
        <v>443</v>
      </c>
      <c r="C367" s="375" t="e">
        <f>SUM(#REF!)</f>
        <v>#REF!</v>
      </c>
      <c r="D367" s="120">
        <v>3.69</v>
      </c>
      <c r="E367" s="120">
        <v>279.019332</v>
      </c>
      <c r="F367" s="120">
        <v>282.709332</v>
      </c>
      <c r="G367" s="120">
        <v>0</v>
      </c>
      <c r="H367" s="120">
        <v>0</v>
      </c>
      <c r="I367" s="120">
        <v>42.99</v>
      </c>
      <c r="J367" s="120">
        <f t="shared" si="41"/>
        <v>-146.019332</v>
      </c>
      <c r="K367" s="120">
        <v>46.68</v>
      </c>
      <c r="L367" s="120">
        <v>133</v>
      </c>
      <c r="M367" s="120">
        <f t="shared" si="47"/>
        <v>179.68</v>
      </c>
      <c r="N367" s="380">
        <f t="shared" si="42"/>
        <v>-36.4435553899579</v>
      </c>
      <c r="O367" s="375" t="s">
        <v>88</v>
      </c>
    </row>
    <row r="368" s="109" customFormat="1" ht="30" customHeight="1" spans="1:15">
      <c r="A368" s="374">
        <v>21699</v>
      </c>
      <c r="B368" s="199" t="s">
        <v>444</v>
      </c>
      <c r="C368" s="375" t="e">
        <f t="shared" si="48"/>
        <v>#REF!</v>
      </c>
      <c r="D368" s="120">
        <v>411.88</v>
      </c>
      <c r="E368" s="120">
        <v>0</v>
      </c>
      <c r="F368" s="120">
        <v>411.88</v>
      </c>
      <c r="G368" s="120">
        <v>-406</v>
      </c>
      <c r="H368" s="120">
        <v>0</v>
      </c>
      <c r="I368" s="120">
        <v>0</v>
      </c>
      <c r="J368" s="120">
        <f t="shared" si="41"/>
        <v>0</v>
      </c>
      <c r="K368" s="120">
        <v>5.88</v>
      </c>
      <c r="L368" s="120"/>
      <c r="M368" s="120">
        <f t="shared" si="47"/>
        <v>5.88</v>
      </c>
      <c r="N368" s="380">
        <f t="shared" si="42"/>
        <v>-98.5723997280761</v>
      </c>
      <c r="O368" s="121"/>
    </row>
    <row r="369" s="109" customFormat="1" ht="30" customHeight="1" spans="1:15">
      <c r="A369" s="374">
        <v>2169999</v>
      </c>
      <c r="B369" s="199" t="s">
        <v>444</v>
      </c>
      <c r="C369" s="375" t="e">
        <f>SUM(#REF!)</f>
        <v>#REF!</v>
      </c>
      <c r="D369" s="120">
        <v>411.88</v>
      </c>
      <c r="E369" s="120">
        <v>0</v>
      </c>
      <c r="F369" s="120">
        <v>411.88</v>
      </c>
      <c r="G369" s="120">
        <v>-406</v>
      </c>
      <c r="H369" s="120">
        <v>0</v>
      </c>
      <c r="I369" s="120">
        <v>0</v>
      </c>
      <c r="J369" s="120">
        <f t="shared" si="41"/>
        <v>0</v>
      </c>
      <c r="K369" s="120">
        <v>5.88</v>
      </c>
      <c r="L369" s="120"/>
      <c r="M369" s="120">
        <f t="shared" si="47"/>
        <v>5.88</v>
      </c>
      <c r="N369" s="380">
        <f t="shared" si="42"/>
        <v>-98.5723997280761</v>
      </c>
      <c r="O369" s="121"/>
    </row>
    <row r="370" s="109" customFormat="1" ht="30" customHeight="1" spans="1:15">
      <c r="A370" s="374">
        <v>217</v>
      </c>
      <c r="B370" s="199" t="s">
        <v>445</v>
      </c>
      <c r="C370" s="375" t="e">
        <f t="shared" ref="C370:I370" si="49">C373+C371</f>
        <v>#REF!</v>
      </c>
      <c r="D370" s="120">
        <v>20</v>
      </c>
      <c r="E370" s="120">
        <v>5</v>
      </c>
      <c r="F370" s="120">
        <f>D370+E370</f>
        <v>25</v>
      </c>
      <c r="G370" s="120">
        <f t="shared" si="49"/>
        <v>-15</v>
      </c>
      <c r="H370" s="120">
        <f t="shared" si="49"/>
        <v>0</v>
      </c>
      <c r="I370" s="120">
        <f t="shared" si="49"/>
        <v>0</v>
      </c>
      <c r="J370" s="120">
        <f t="shared" si="41"/>
        <v>0</v>
      </c>
      <c r="K370" s="120">
        <v>5</v>
      </c>
      <c r="L370" s="120">
        <f>L373</f>
        <v>5</v>
      </c>
      <c r="M370" s="120">
        <f t="shared" si="47"/>
        <v>10</v>
      </c>
      <c r="N370" s="380">
        <f t="shared" si="42"/>
        <v>-60</v>
      </c>
      <c r="O370" s="375"/>
    </row>
    <row r="371" s="109" customFormat="1" ht="30" customHeight="1" spans="1:15">
      <c r="A371" s="374">
        <v>21703</v>
      </c>
      <c r="B371" s="199" t="s">
        <v>446</v>
      </c>
      <c r="C371" s="375" t="e">
        <f>C372</f>
        <v>#REF!</v>
      </c>
      <c r="D371" s="120">
        <v>15</v>
      </c>
      <c r="E371" s="120">
        <v>0</v>
      </c>
      <c r="F371" s="120">
        <v>15</v>
      </c>
      <c r="G371" s="120">
        <v>-15</v>
      </c>
      <c r="H371" s="120">
        <v>0</v>
      </c>
      <c r="I371" s="120">
        <v>0</v>
      </c>
      <c r="J371" s="120">
        <f t="shared" si="41"/>
        <v>0</v>
      </c>
      <c r="K371" s="120">
        <v>0</v>
      </c>
      <c r="L371" s="120"/>
      <c r="M371" s="120">
        <f t="shared" si="47"/>
        <v>0</v>
      </c>
      <c r="N371" s="380">
        <f t="shared" si="42"/>
        <v>-100</v>
      </c>
      <c r="O371" s="121"/>
    </row>
    <row r="372" s="109" customFormat="1" ht="30" customHeight="1" spans="1:15">
      <c r="A372" s="374">
        <v>2170399</v>
      </c>
      <c r="B372" s="199" t="s">
        <v>447</v>
      </c>
      <c r="C372" s="375" t="e">
        <f>#REF!</f>
        <v>#REF!</v>
      </c>
      <c r="D372" s="120">
        <v>15</v>
      </c>
      <c r="E372" s="120">
        <v>0</v>
      </c>
      <c r="F372" s="120">
        <v>15</v>
      </c>
      <c r="G372" s="120">
        <v>-15</v>
      </c>
      <c r="H372" s="120">
        <v>0</v>
      </c>
      <c r="I372" s="120">
        <v>0</v>
      </c>
      <c r="J372" s="120">
        <f t="shared" si="41"/>
        <v>0</v>
      </c>
      <c r="K372" s="120">
        <v>0</v>
      </c>
      <c r="L372" s="120"/>
      <c r="M372" s="120">
        <f t="shared" si="47"/>
        <v>0</v>
      </c>
      <c r="N372" s="380">
        <f t="shared" si="42"/>
        <v>-100</v>
      </c>
      <c r="O372" s="121" t="s">
        <v>448</v>
      </c>
    </row>
    <row r="373" s="109" customFormat="1" ht="30" customHeight="1" spans="1:15">
      <c r="A373" s="374">
        <v>21799</v>
      </c>
      <c r="B373" s="199" t="s">
        <v>446</v>
      </c>
      <c r="C373" s="375" t="e">
        <f>C374</f>
        <v>#REF!</v>
      </c>
      <c r="D373" s="120">
        <v>5</v>
      </c>
      <c r="E373" s="120">
        <v>5</v>
      </c>
      <c r="F373" s="120">
        <v>10</v>
      </c>
      <c r="G373" s="120">
        <v>0</v>
      </c>
      <c r="H373" s="120">
        <v>0</v>
      </c>
      <c r="I373" s="120">
        <v>0</v>
      </c>
      <c r="J373" s="120">
        <f t="shared" si="41"/>
        <v>0</v>
      </c>
      <c r="K373" s="120">
        <v>5</v>
      </c>
      <c r="L373" s="120">
        <v>5</v>
      </c>
      <c r="M373" s="120">
        <f t="shared" si="47"/>
        <v>10</v>
      </c>
      <c r="N373" s="380">
        <f t="shared" si="42"/>
        <v>0</v>
      </c>
      <c r="O373" s="121"/>
    </row>
    <row r="374" s="109" customFormat="1" ht="30" customHeight="1" spans="1:15">
      <c r="A374" s="374">
        <v>2179999</v>
      </c>
      <c r="B374" s="199" t="s">
        <v>446</v>
      </c>
      <c r="C374" s="375" t="e">
        <f>#REF!</f>
        <v>#REF!</v>
      </c>
      <c r="D374" s="120">
        <v>5</v>
      </c>
      <c r="E374" s="120">
        <v>5</v>
      </c>
      <c r="F374" s="120">
        <v>10</v>
      </c>
      <c r="G374" s="120">
        <v>0</v>
      </c>
      <c r="H374" s="120">
        <v>0</v>
      </c>
      <c r="I374" s="120">
        <v>0</v>
      </c>
      <c r="J374" s="120">
        <f t="shared" si="41"/>
        <v>0</v>
      </c>
      <c r="K374" s="120">
        <v>5</v>
      </c>
      <c r="L374" s="120">
        <v>5</v>
      </c>
      <c r="M374" s="120">
        <f t="shared" si="47"/>
        <v>10</v>
      </c>
      <c r="N374" s="380">
        <f t="shared" si="42"/>
        <v>0</v>
      </c>
      <c r="O374" s="121"/>
    </row>
    <row r="375" s="109" customFormat="1" ht="30" customHeight="1" spans="1:15">
      <c r="A375" s="374">
        <v>220</v>
      </c>
      <c r="B375" s="199" t="s">
        <v>449</v>
      </c>
      <c r="C375" s="375" t="e">
        <f t="shared" ref="C375:I375" si="50">C376+C384</f>
        <v>#REF!</v>
      </c>
      <c r="D375" s="120">
        <f t="shared" si="50"/>
        <v>2003.51</v>
      </c>
      <c r="E375" s="120">
        <v>850</v>
      </c>
      <c r="F375" s="120">
        <f>D375+E375</f>
        <v>2853.51</v>
      </c>
      <c r="G375" s="120">
        <f t="shared" si="50"/>
        <v>-450.66</v>
      </c>
      <c r="H375" s="120">
        <f t="shared" si="50"/>
        <v>-84.18</v>
      </c>
      <c r="I375" s="120">
        <f t="shared" si="50"/>
        <v>0</v>
      </c>
      <c r="J375" s="120">
        <f t="shared" si="41"/>
        <v>-395</v>
      </c>
      <c r="K375" s="120">
        <v>1468.67</v>
      </c>
      <c r="L375" s="120">
        <f>L376+L384</f>
        <v>455</v>
      </c>
      <c r="M375" s="120">
        <f t="shared" si="47"/>
        <v>1923.67</v>
      </c>
      <c r="N375" s="380">
        <f t="shared" si="42"/>
        <v>-32.5858328865152</v>
      </c>
      <c r="O375" s="121"/>
    </row>
    <row r="376" s="109" customFormat="1" ht="30" customHeight="1" spans="1:15">
      <c r="A376" s="374">
        <v>22001</v>
      </c>
      <c r="B376" s="199" t="s">
        <v>450</v>
      </c>
      <c r="C376" s="375" t="e">
        <f>C377+C380+C381+C382+C383</f>
        <v>#REF!</v>
      </c>
      <c r="D376" s="120">
        <v>1987.44</v>
      </c>
      <c r="E376" s="120">
        <v>850</v>
      </c>
      <c r="F376" s="120">
        <v>2837.44</v>
      </c>
      <c r="G376" s="120">
        <v>-440.66</v>
      </c>
      <c r="H376" s="120">
        <v>-84.18</v>
      </c>
      <c r="I376" s="120">
        <v>0</v>
      </c>
      <c r="J376" s="120">
        <f t="shared" si="41"/>
        <v>-395</v>
      </c>
      <c r="K376" s="120">
        <v>1462.6</v>
      </c>
      <c r="L376" s="120">
        <f>L378+L379+L383</f>
        <v>455</v>
      </c>
      <c r="M376" s="120">
        <f t="shared" si="47"/>
        <v>1917.6</v>
      </c>
      <c r="N376" s="380">
        <f t="shared" si="42"/>
        <v>-32.4179542122477</v>
      </c>
      <c r="O376" s="375"/>
    </row>
    <row r="377" s="109" customFormat="1" ht="30" customHeight="1" spans="1:15">
      <c r="A377" s="374">
        <v>2200101</v>
      </c>
      <c r="B377" s="199" t="s">
        <v>73</v>
      </c>
      <c r="C377" s="375" t="e">
        <f>SUM(#REF!)</f>
        <v>#REF!</v>
      </c>
      <c r="D377" s="120">
        <v>576.5</v>
      </c>
      <c r="E377" s="120">
        <v>0</v>
      </c>
      <c r="F377" s="120">
        <v>576.5</v>
      </c>
      <c r="G377" s="120">
        <v>-22.37</v>
      </c>
      <c r="H377" s="120">
        <v>0</v>
      </c>
      <c r="I377" s="120">
        <v>0</v>
      </c>
      <c r="J377" s="120">
        <f t="shared" si="41"/>
        <v>0</v>
      </c>
      <c r="K377" s="120">
        <v>554.13</v>
      </c>
      <c r="L377" s="120"/>
      <c r="M377" s="120">
        <f t="shared" si="47"/>
        <v>554.13</v>
      </c>
      <c r="N377" s="380">
        <f t="shared" si="42"/>
        <v>-3.88031222896791</v>
      </c>
      <c r="O377" s="375" t="s">
        <v>236</v>
      </c>
    </row>
    <row r="378" s="109" customFormat="1" ht="30" customHeight="1" spans="1:15">
      <c r="A378" s="374">
        <v>2200106</v>
      </c>
      <c r="B378" s="199" t="s">
        <v>451</v>
      </c>
      <c r="C378" s="375"/>
      <c r="D378" s="120"/>
      <c r="E378" s="120"/>
      <c r="F378" s="120"/>
      <c r="G378" s="120"/>
      <c r="H378" s="120"/>
      <c r="I378" s="120"/>
      <c r="J378" s="120">
        <f t="shared" si="41"/>
        <v>215</v>
      </c>
      <c r="K378" s="120"/>
      <c r="L378" s="120">
        <v>215</v>
      </c>
      <c r="M378" s="120"/>
      <c r="N378" s="380"/>
      <c r="O378" s="375"/>
    </row>
    <row r="379" s="109" customFormat="1" ht="30" customHeight="1" spans="1:15">
      <c r="A379" s="374">
        <v>2200109</v>
      </c>
      <c r="B379" s="199" t="s">
        <v>452</v>
      </c>
      <c r="C379" s="375"/>
      <c r="D379" s="120"/>
      <c r="E379" s="120"/>
      <c r="F379" s="120"/>
      <c r="G379" s="120"/>
      <c r="H379" s="120"/>
      <c r="I379" s="120"/>
      <c r="J379" s="120">
        <f t="shared" si="41"/>
        <v>200</v>
      </c>
      <c r="K379" s="120"/>
      <c r="L379" s="120">
        <v>200</v>
      </c>
      <c r="M379" s="120"/>
      <c r="N379" s="380"/>
      <c r="O379" s="375"/>
    </row>
    <row r="380" s="109" customFormat="1" ht="30" customHeight="1" spans="1:15">
      <c r="A380" s="374">
        <v>2200114</v>
      </c>
      <c r="B380" s="199" t="s">
        <v>453</v>
      </c>
      <c r="C380" s="375" t="e">
        <f>SUM(#REF!)</f>
        <v>#REF!</v>
      </c>
      <c r="D380" s="120">
        <v>178.66</v>
      </c>
      <c r="E380" s="120">
        <v>0</v>
      </c>
      <c r="F380" s="120">
        <v>178.66</v>
      </c>
      <c r="G380" s="120">
        <v>-107.16</v>
      </c>
      <c r="H380" s="120">
        <v>0</v>
      </c>
      <c r="I380" s="120">
        <v>0</v>
      </c>
      <c r="J380" s="120">
        <f t="shared" si="41"/>
        <v>0</v>
      </c>
      <c r="K380" s="120">
        <v>71.5</v>
      </c>
      <c r="L380" s="120"/>
      <c r="M380" s="120">
        <f t="shared" ref="M380:M387" si="51">K380+L380</f>
        <v>71.5</v>
      </c>
      <c r="N380" s="380">
        <f t="shared" si="42"/>
        <v>-59.9798499944028</v>
      </c>
      <c r="O380" s="121" t="s">
        <v>454</v>
      </c>
    </row>
    <row r="381" s="109" customFormat="1" ht="30" customHeight="1" spans="1:15">
      <c r="A381" s="374">
        <v>2200120</v>
      </c>
      <c r="B381" s="199" t="s">
        <v>455</v>
      </c>
      <c r="C381" s="375" t="e">
        <f>SUM(#REF!)</f>
        <v>#REF!</v>
      </c>
      <c r="D381" s="120">
        <v>339.78</v>
      </c>
      <c r="E381" s="120">
        <v>0</v>
      </c>
      <c r="F381" s="120">
        <v>339.78</v>
      </c>
      <c r="G381" s="120">
        <v>-312.62</v>
      </c>
      <c r="H381" s="120">
        <v>-11</v>
      </c>
      <c r="I381" s="120">
        <v>0</v>
      </c>
      <c r="J381" s="120">
        <f t="shared" si="41"/>
        <v>0</v>
      </c>
      <c r="K381" s="120">
        <v>16.16</v>
      </c>
      <c r="L381" s="120"/>
      <c r="M381" s="120">
        <f t="shared" si="51"/>
        <v>16.16</v>
      </c>
      <c r="N381" s="380">
        <f t="shared" si="42"/>
        <v>-95.2439813997292</v>
      </c>
      <c r="O381" s="121"/>
    </row>
    <row r="382" s="109" customFormat="1" ht="30" customHeight="1" spans="1:15">
      <c r="A382" s="374">
        <v>2200150</v>
      </c>
      <c r="B382" s="199" t="s">
        <v>97</v>
      </c>
      <c r="C382" s="375" t="e">
        <f>SUM(#REF!)</f>
        <v>#REF!</v>
      </c>
      <c r="D382" s="120">
        <v>74.27</v>
      </c>
      <c r="E382" s="120">
        <v>0</v>
      </c>
      <c r="F382" s="120">
        <v>74.27</v>
      </c>
      <c r="G382" s="120">
        <v>3.46</v>
      </c>
      <c r="H382" s="120">
        <v>0</v>
      </c>
      <c r="I382" s="120">
        <v>0</v>
      </c>
      <c r="J382" s="120">
        <f t="shared" si="41"/>
        <v>0</v>
      </c>
      <c r="K382" s="120">
        <v>77.73</v>
      </c>
      <c r="L382" s="120"/>
      <c r="M382" s="120">
        <f t="shared" si="51"/>
        <v>77.73</v>
      </c>
      <c r="N382" s="380">
        <f t="shared" si="42"/>
        <v>4.65867779722635</v>
      </c>
      <c r="O382" s="121"/>
    </row>
    <row r="383" s="109" customFormat="1" ht="30" customHeight="1" spans="1:15">
      <c r="A383" s="374">
        <v>2200199</v>
      </c>
      <c r="B383" s="199" t="s">
        <v>456</v>
      </c>
      <c r="C383" s="375" t="e">
        <f>SUM(#REF!)</f>
        <v>#REF!</v>
      </c>
      <c r="D383" s="120">
        <v>818.23</v>
      </c>
      <c r="E383" s="120">
        <v>50</v>
      </c>
      <c r="F383" s="120">
        <v>868.23</v>
      </c>
      <c r="G383" s="120">
        <v>-1.97</v>
      </c>
      <c r="H383" s="120">
        <v>-73.18</v>
      </c>
      <c r="I383" s="120">
        <v>0</v>
      </c>
      <c r="J383" s="120">
        <f t="shared" si="41"/>
        <v>-10</v>
      </c>
      <c r="K383" s="120">
        <v>743.08</v>
      </c>
      <c r="L383" s="120">
        <v>40</v>
      </c>
      <c r="M383" s="120">
        <f t="shared" si="51"/>
        <v>783.08</v>
      </c>
      <c r="N383" s="380">
        <f t="shared" si="42"/>
        <v>-9.80730912315861</v>
      </c>
      <c r="O383" s="121" t="s">
        <v>101</v>
      </c>
    </row>
    <row r="384" s="109" customFormat="1" ht="30" customHeight="1" spans="1:15">
      <c r="A384" s="374">
        <v>22099</v>
      </c>
      <c r="B384" s="199" t="s">
        <v>457</v>
      </c>
      <c r="C384" s="375" t="e">
        <f>C385</f>
        <v>#REF!</v>
      </c>
      <c r="D384" s="120">
        <v>16.07</v>
      </c>
      <c r="E384" s="120">
        <v>0</v>
      </c>
      <c r="F384" s="120">
        <v>16.07</v>
      </c>
      <c r="G384" s="120">
        <v>-10</v>
      </c>
      <c r="H384" s="120">
        <v>0</v>
      </c>
      <c r="I384" s="120">
        <v>0</v>
      </c>
      <c r="J384" s="120">
        <f t="shared" si="41"/>
        <v>0</v>
      </c>
      <c r="K384" s="120">
        <v>6.07</v>
      </c>
      <c r="L384" s="120"/>
      <c r="M384" s="120">
        <f t="shared" si="51"/>
        <v>6.07</v>
      </c>
      <c r="N384" s="380">
        <f t="shared" si="42"/>
        <v>-62.2277535780958</v>
      </c>
      <c r="O384" s="375"/>
    </row>
    <row r="385" s="109" customFormat="1" ht="30" customHeight="1" spans="1:15">
      <c r="A385" s="374">
        <v>2209999</v>
      </c>
      <c r="B385" s="199" t="s">
        <v>457</v>
      </c>
      <c r="C385" s="375" t="e">
        <f>SUM(#REF!)</f>
        <v>#REF!</v>
      </c>
      <c r="D385" s="120">
        <v>16.07</v>
      </c>
      <c r="E385" s="120">
        <v>0</v>
      </c>
      <c r="F385" s="120">
        <v>16.07</v>
      </c>
      <c r="G385" s="120">
        <v>-10</v>
      </c>
      <c r="H385" s="120">
        <v>0</v>
      </c>
      <c r="I385" s="120">
        <v>0</v>
      </c>
      <c r="J385" s="120">
        <f t="shared" si="41"/>
        <v>0</v>
      </c>
      <c r="K385" s="120">
        <v>6.07</v>
      </c>
      <c r="L385" s="120"/>
      <c r="M385" s="120">
        <f t="shared" si="51"/>
        <v>6.07</v>
      </c>
      <c r="N385" s="380">
        <f t="shared" si="42"/>
        <v>-62.2277535780958</v>
      </c>
      <c r="O385" s="375" t="s">
        <v>458</v>
      </c>
    </row>
    <row r="386" s="109" customFormat="1" ht="30" customHeight="1" spans="1:15">
      <c r="A386" s="374">
        <v>221</v>
      </c>
      <c r="B386" s="199" t="s">
        <v>459</v>
      </c>
      <c r="C386" s="375" t="e">
        <f t="shared" ref="C386:I386" si="52">C387+C391</f>
        <v>#REF!</v>
      </c>
      <c r="D386" s="120">
        <f t="shared" si="52"/>
        <v>1698.304</v>
      </c>
      <c r="E386" s="120">
        <v>708.15</v>
      </c>
      <c r="F386" s="120">
        <f>D386+E386</f>
        <v>2406.454</v>
      </c>
      <c r="G386" s="120">
        <f t="shared" si="52"/>
        <v>-208.664</v>
      </c>
      <c r="H386" s="120">
        <f t="shared" si="52"/>
        <v>0</v>
      </c>
      <c r="I386" s="120">
        <f t="shared" si="52"/>
        <v>123.086</v>
      </c>
      <c r="J386" s="120">
        <f t="shared" si="41"/>
        <v>-536.15</v>
      </c>
      <c r="K386" s="120">
        <v>1612.726</v>
      </c>
      <c r="L386" s="120">
        <f>L387+L391</f>
        <v>172</v>
      </c>
      <c r="M386" s="120">
        <f t="shared" si="51"/>
        <v>1784.726</v>
      </c>
      <c r="N386" s="380">
        <f t="shared" si="42"/>
        <v>-25.8358564094722</v>
      </c>
      <c r="O386" s="121"/>
    </row>
    <row r="387" s="109" customFormat="1" ht="30" customHeight="1" spans="1:15">
      <c r="A387" s="374">
        <v>22101</v>
      </c>
      <c r="B387" s="199" t="s">
        <v>460</v>
      </c>
      <c r="C387" s="375" t="e">
        <f>0+C389</f>
        <v>#REF!</v>
      </c>
      <c r="D387" s="120">
        <v>48.35</v>
      </c>
      <c r="E387" s="120">
        <v>708.15</v>
      </c>
      <c r="F387" s="120">
        <v>756.5</v>
      </c>
      <c r="G387" s="120">
        <v>-28.35</v>
      </c>
      <c r="H387" s="120">
        <v>0</v>
      </c>
      <c r="I387" s="120">
        <v>0</v>
      </c>
      <c r="J387" s="120">
        <f t="shared" si="41"/>
        <v>-536.15</v>
      </c>
      <c r="K387" s="120">
        <v>20</v>
      </c>
      <c r="L387" s="120">
        <f>L388+L389+L390</f>
        <v>172</v>
      </c>
      <c r="M387" s="120">
        <f t="shared" si="51"/>
        <v>192</v>
      </c>
      <c r="N387" s="380">
        <f t="shared" si="42"/>
        <v>-74.619960343688</v>
      </c>
      <c r="O387" s="121"/>
    </row>
    <row r="388" s="109" customFormat="1" ht="30" customHeight="1" spans="1:15">
      <c r="A388" s="374">
        <v>2210106</v>
      </c>
      <c r="B388" s="199" t="s">
        <v>461</v>
      </c>
      <c r="C388" s="375"/>
      <c r="D388" s="120"/>
      <c r="E388" s="120"/>
      <c r="F388" s="120"/>
      <c r="G388" s="120"/>
      <c r="H388" s="120"/>
      <c r="I388" s="120"/>
      <c r="J388" s="120">
        <f t="shared" si="41"/>
        <v>14</v>
      </c>
      <c r="K388" s="120"/>
      <c r="L388" s="120">
        <v>14</v>
      </c>
      <c r="M388" s="120"/>
      <c r="N388" s="380"/>
      <c r="O388" s="121"/>
    </row>
    <row r="389" s="109" customFormat="1" ht="30" customHeight="1" spans="1:15">
      <c r="A389" s="374" t="s">
        <v>462</v>
      </c>
      <c r="B389" s="199" t="s">
        <v>463</v>
      </c>
      <c r="C389" s="375" t="e">
        <f>#REF!</f>
        <v>#REF!</v>
      </c>
      <c r="D389" s="120">
        <v>48.35</v>
      </c>
      <c r="E389" s="120">
        <v>322.18</v>
      </c>
      <c r="F389" s="120">
        <v>370.53</v>
      </c>
      <c r="G389" s="120">
        <v>-28.35</v>
      </c>
      <c r="H389" s="120">
        <v>0</v>
      </c>
      <c r="I389" s="120">
        <v>0</v>
      </c>
      <c r="J389" s="120">
        <f t="shared" si="41"/>
        <v>-175.18</v>
      </c>
      <c r="K389" s="120">
        <v>20</v>
      </c>
      <c r="L389" s="120">
        <v>147</v>
      </c>
      <c r="M389" s="120">
        <f t="shared" ref="M389:M415" si="53">K389+L389</f>
        <v>167</v>
      </c>
      <c r="N389" s="380">
        <f t="shared" si="42"/>
        <v>-54.929425417645</v>
      </c>
      <c r="O389" s="121" t="s">
        <v>464</v>
      </c>
    </row>
    <row r="390" s="109" customFormat="1" ht="30" customHeight="1" spans="1:15">
      <c r="A390" s="374">
        <v>2210108</v>
      </c>
      <c r="B390" s="199" t="s">
        <v>465</v>
      </c>
      <c r="C390" s="375"/>
      <c r="D390" s="120"/>
      <c r="E390" s="120"/>
      <c r="F390" s="120"/>
      <c r="G390" s="120"/>
      <c r="H390" s="120"/>
      <c r="I390" s="120"/>
      <c r="J390" s="120">
        <f t="shared" ref="J390:J428" si="54">L390-E390</f>
        <v>11</v>
      </c>
      <c r="K390" s="120"/>
      <c r="L390" s="120">
        <v>11</v>
      </c>
      <c r="M390" s="120"/>
      <c r="N390" s="380"/>
      <c r="O390" s="121"/>
    </row>
    <row r="391" s="109" customFormat="1" ht="30" customHeight="1" spans="1:15">
      <c r="A391" s="374">
        <v>22102</v>
      </c>
      <c r="B391" s="199" t="s">
        <v>466</v>
      </c>
      <c r="C391" s="375" t="e">
        <f>C392</f>
        <v>#REF!</v>
      </c>
      <c r="D391" s="120">
        <v>1649.954</v>
      </c>
      <c r="E391" s="120">
        <v>0</v>
      </c>
      <c r="F391" s="120">
        <v>1649.954</v>
      </c>
      <c r="G391" s="120">
        <v>-180.314</v>
      </c>
      <c r="H391" s="120">
        <v>0</v>
      </c>
      <c r="I391" s="120">
        <v>123.086</v>
      </c>
      <c r="J391" s="120">
        <f t="shared" si="54"/>
        <v>0</v>
      </c>
      <c r="K391" s="120">
        <v>1592.726</v>
      </c>
      <c r="L391" s="120"/>
      <c r="M391" s="120">
        <f t="shared" si="53"/>
        <v>1592.726</v>
      </c>
      <c r="N391" s="380">
        <f t="shared" ref="N390:N428" si="55">(M391-F391)/F391*100</f>
        <v>-3.46846033283351</v>
      </c>
      <c r="O391" s="121"/>
    </row>
    <row r="392" s="109" customFormat="1" ht="30" customHeight="1" spans="1:15">
      <c r="A392" s="374">
        <v>2210201</v>
      </c>
      <c r="B392" s="199" t="s">
        <v>467</v>
      </c>
      <c r="C392" s="375" t="e">
        <f>SUM(#REF!)</f>
        <v>#REF!</v>
      </c>
      <c r="D392" s="120">
        <v>1649.954</v>
      </c>
      <c r="E392" s="120">
        <v>0</v>
      </c>
      <c r="F392" s="120">
        <v>1649.954</v>
      </c>
      <c r="G392" s="120">
        <v>-180.314</v>
      </c>
      <c r="H392" s="120">
        <v>0</v>
      </c>
      <c r="I392" s="120">
        <v>123.086</v>
      </c>
      <c r="J392" s="120">
        <f t="shared" si="54"/>
        <v>0</v>
      </c>
      <c r="K392" s="120">
        <v>1592.726</v>
      </c>
      <c r="L392" s="120"/>
      <c r="M392" s="120">
        <f t="shared" si="53"/>
        <v>1592.726</v>
      </c>
      <c r="N392" s="380">
        <f t="shared" si="55"/>
        <v>-3.46846033283351</v>
      </c>
      <c r="O392" s="121" t="s">
        <v>468</v>
      </c>
    </row>
    <row r="393" s="109" customFormat="1" ht="30" customHeight="1" spans="1:15">
      <c r="A393" s="374">
        <v>222</v>
      </c>
      <c r="B393" s="199" t="s">
        <v>469</v>
      </c>
      <c r="C393" s="375" t="e">
        <f>C394+#REF!+C397</f>
        <v>#REF!</v>
      </c>
      <c r="D393" s="120">
        <f>D394+D397</f>
        <v>583.1</v>
      </c>
      <c r="E393" s="120">
        <v>0</v>
      </c>
      <c r="F393" s="120">
        <f>D393+E393</f>
        <v>583.1</v>
      </c>
      <c r="G393" s="120">
        <f>SUM(G394:G398)</f>
        <v>0</v>
      </c>
      <c r="H393" s="120">
        <f>SUM(H394:H398)</f>
        <v>0</v>
      </c>
      <c r="I393" s="120">
        <f>I394+I397</f>
        <v>3</v>
      </c>
      <c r="J393" s="120">
        <f t="shared" si="54"/>
        <v>0</v>
      </c>
      <c r="K393" s="120">
        <v>587.1</v>
      </c>
      <c r="L393" s="120">
        <f>L394+L397</f>
        <v>0</v>
      </c>
      <c r="M393" s="120">
        <f t="shared" si="53"/>
        <v>587.1</v>
      </c>
      <c r="N393" s="380">
        <f t="shared" si="55"/>
        <v>0.68598868118676</v>
      </c>
      <c r="O393" s="375"/>
    </row>
    <row r="394" s="109" customFormat="1" ht="30" customHeight="1" spans="1:15">
      <c r="A394" s="374">
        <v>22201</v>
      </c>
      <c r="B394" s="199" t="s">
        <v>470</v>
      </c>
      <c r="C394" s="375" t="e">
        <f>C395+C396</f>
        <v>#REF!</v>
      </c>
      <c r="D394" s="120">
        <v>553.1</v>
      </c>
      <c r="E394" s="120">
        <v>0</v>
      </c>
      <c r="F394" s="120">
        <v>553.1</v>
      </c>
      <c r="G394" s="120">
        <v>0</v>
      </c>
      <c r="H394" s="120">
        <v>0</v>
      </c>
      <c r="I394" s="120">
        <v>3</v>
      </c>
      <c r="J394" s="120">
        <f t="shared" si="54"/>
        <v>0</v>
      </c>
      <c r="K394" s="120">
        <v>556.1</v>
      </c>
      <c r="L394" s="120"/>
      <c r="M394" s="120">
        <f t="shared" si="53"/>
        <v>556.1</v>
      </c>
      <c r="N394" s="380">
        <f t="shared" si="55"/>
        <v>0.542397396492497</v>
      </c>
      <c r="O394" s="375"/>
    </row>
    <row r="395" s="109" customFormat="1" ht="30" customHeight="1" spans="1:15">
      <c r="A395" s="374">
        <v>2220115</v>
      </c>
      <c r="B395" s="199" t="s">
        <v>471</v>
      </c>
      <c r="C395" s="375" t="e">
        <f>#REF!</f>
        <v>#REF!</v>
      </c>
      <c r="D395" s="120">
        <v>434</v>
      </c>
      <c r="E395" s="120">
        <v>0</v>
      </c>
      <c r="F395" s="120">
        <v>434</v>
      </c>
      <c r="G395" s="120">
        <v>0</v>
      </c>
      <c r="H395" s="120">
        <v>0</v>
      </c>
      <c r="I395" s="120">
        <v>0</v>
      </c>
      <c r="J395" s="120">
        <f t="shared" si="54"/>
        <v>0</v>
      </c>
      <c r="K395" s="120">
        <v>434</v>
      </c>
      <c r="L395" s="120"/>
      <c r="M395" s="120">
        <f t="shared" si="53"/>
        <v>434</v>
      </c>
      <c r="N395" s="380">
        <f t="shared" si="55"/>
        <v>0</v>
      </c>
      <c r="O395" s="375"/>
    </row>
    <row r="396" s="109" customFormat="1" ht="30" customHeight="1" spans="1:15">
      <c r="A396" s="374">
        <v>2220199</v>
      </c>
      <c r="B396" s="199" t="s">
        <v>472</v>
      </c>
      <c r="C396" s="375" t="e">
        <f>SUM(#REF!)</f>
        <v>#REF!</v>
      </c>
      <c r="D396" s="120">
        <v>119.1</v>
      </c>
      <c r="E396" s="120">
        <v>0</v>
      </c>
      <c r="F396" s="120">
        <v>119.1</v>
      </c>
      <c r="G396" s="120">
        <v>0</v>
      </c>
      <c r="H396" s="120">
        <v>0</v>
      </c>
      <c r="I396" s="120">
        <v>3</v>
      </c>
      <c r="J396" s="120">
        <f t="shared" si="54"/>
        <v>0</v>
      </c>
      <c r="K396" s="120">
        <v>122.1</v>
      </c>
      <c r="L396" s="120"/>
      <c r="M396" s="120">
        <f t="shared" si="53"/>
        <v>122.1</v>
      </c>
      <c r="N396" s="380">
        <f t="shared" si="55"/>
        <v>2.51889168765743</v>
      </c>
      <c r="O396" s="375"/>
    </row>
    <row r="397" s="109" customFormat="1" ht="30" customHeight="1" spans="1:15">
      <c r="A397" s="374">
        <v>22205</v>
      </c>
      <c r="B397" s="199" t="s">
        <v>473</v>
      </c>
      <c r="C397" s="375" t="e">
        <f>C398+0</f>
        <v>#REF!</v>
      </c>
      <c r="D397" s="120">
        <v>30</v>
      </c>
      <c r="E397" s="120">
        <v>0</v>
      </c>
      <c r="F397" s="120">
        <v>30</v>
      </c>
      <c r="G397" s="120">
        <v>0</v>
      </c>
      <c r="H397" s="120">
        <v>0</v>
      </c>
      <c r="I397" s="120">
        <v>0</v>
      </c>
      <c r="J397" s="120">
        <f t="shared" si="54"/>
        <v>0</v>
      </c>
      <c r="K397" s="120">
        <v>30</v>
      </c>
      <c r="L397" s="120"/>
      <c r="M397" s="120">
        <f t="shared" si="53"/>
        <v>30</v>
      </c>
      <c r="N397" s="380">
        <f t="shared" si="55"/>
        <v>0</v>
      </c>
      <c r="O397" s="375"/>
    </row>
    <row r="398" s="109" customFormat="1" ht="30" customHeight="1" spans="1:15">
      <c r="A398" s="374">
        <v>2220503</v>
      </c>
      <c r="B398" s="199" t="s">
        <v>474</v>
      </c>
      <c r="C398" s="375" t="e">
        <f>#REF!</f>
        <v>#REF!</v>
      </c>
      <c r="D398" s="120">
        <v>30</v>
      </c>
      <c r="E398" s="120">
        <v>0</v>
      </c>
      <c r="F398" s="120">
        <v>30</v>
      </c>
      <c r="G398" s="120">
        <v>0</v>
      </c>
      <c r="H398" s="120">
        <v>0</v>
      </c>
      <c r="I398" s="120">
        <v>0</v>
      </c>
      <c r="J398" s="120">
        <f t="shared" si="54"/>
        <v>0</v>
      </c>
      <c r="K398" s="120">
        <v>30</v>
      </c>
      <c r="L398" s="120"/>
      <c r="M398" s="120">
        <f t="shared" si="53"/>
        <v>30</v>
      </c>
      <c r="N398" s="380">
        <f t="shared" si="55"/>
        <v>0</v>
      </c>
      <c r="O398" s="375"/>
    </row>
    <row r="399" s="109" customFormat="1" ht="30" customHeight="1" spans="1:15">
      <c r="A399" s="374">
        <v>224</v>
      </c>
      <c r="B399" s="199" t="s">
        <v>475</v>
      </c>
      <c r="C399" s="375" t="e">
        <f t="shared" ref="C399:I399" si="56">C400+C406+C408+C410+0</f>
        <v>#REF!</v>
      </c>
      <c r="D399" s="120">
        <f t="shared" si="56"/>
        <v>2106.74</v>
      </c>
      <c r="E399" s="120">
        <v>79</v>
      </c>
      <c r="F399" s="120">
        <f>D399+E399</f>
        <v>2185.74</v>
      </c>
      <c r="G399" s="120">
        <f t="shared" si="56"/>
        <v>-428.77</v>
      </c>
      <c r="H399" s="120">
        <f t="shared" si="56"/>
        <v>0</v>
      </c>
      <c r="I399" s="120">
        <f t="shared" si="56"/>
        <v>30.99</v>
      </c>
      <c r="J399" s="120">
        <f t="shared" si="54"/>
        <v>-51</v>
      </c>
      <c r="K399" s="120">
        <v>1708.96</v>
      </c>
      <c r="L399" s="120">
        <f>L400+L406+L408+L410+0</f>
        <v>28</v>
      </c>
      <c r="M399" s="120">
        <f t="shared" si="53"/>
        <v>1736.96</v>
      </c>
      <c r="N399" s="380">
        <f t="shared" si="55"/>
        <v>-20.532176745633</v>
      </c>
      <c r="O399" s="375"/>
    </row>
    <row r="400" s="109" customFormat="1" ht="30" customHeight="1" spans="1:15">
      <c r="A400" s="374">
        <v>22401</v>
      </c>
      <c r="B400" s="199" t="s">
        <v>476</v>
      </c>
      <c r="C400" s="375" t="e">
        <f>C401+C402+C404+C405+C403</f>
        <v>#REF!</v>
      </c>
      <c r="D400" s="120">
        <v>1519.56</v>
      </c>
      <c r="E400" s="120">
        <v>0</v>
      </c>
      <c r="F400" s="120">
        <v>1519.56</v>
      </c>
      <c r="G400" s="120">
        <v>-267.16</v>
      </c>
      <c r="H400" s="120">
        <v>0</v>
      </c>
      <c r="I400" s="120">
        <v>30.99</v>
      </c>
      <c r="J400" s="120">
        <f t="shared" si="54"/>
        <v>0</v>
      </c>
      <c r="K400" s="120">
        <v>1283.39</v>
      </c>
      <c r="L400" s="120"/>
      <c r="M400" s="120">
        <f t="shared" si="53"/>
        <v>1283.39</v>
      </c>
      <c r="N400" s="380">
        <f t="shared" si="55"/>
        <v>-15.5419989997104</v>
      </c>
      <c r="O400" s="375"/>
    </row>
    <row r="401" s="109" customFormat="1" ht="30" customHeight="1" spans="1:15">
      <c r="A401" s="374">
        <v>2240101</v>
      </c>
      <c r="B401" s="199" t="s">
        <v>73</v>
      </c>
      <c r="C401" s="375" t="e">
        <f>SUM(#REF!)</f>
        <v>#REF!</v>
      </c>
      <c r="D401" s="120">
        <v>338.3</v>
      </c>
      <c r="E401" s="120">
        <v>0</v>
      </c>
      <c r="F401" s="120">
        <v>338.3</v>
      </c>
      <c r="G401" s="120">
        <v>-7.5</v>
      </c>
      <c r="H401" s="120">
        <v>0</v>
      </c>
      <c r="I401" s="120">
        <v>4.21</v>
      </c>
      <c r="J401" s="120">
        <f t="shared" si="54"/>
        <v>0</v>
      </c>
      <c r="K401" s="120">
        <v>335.01</v>
      </c>
      <c r="L401" s="120"/>
      <c r="M401" s="120">
        <f t="shared" si="53"/>
        <v>335.01</v>
      </c>
      <c r="N401" s="380">
        <f t="shared" si="55"/>
        <v>-0.972509606857825</v>
      </c>
      <c r="O401" s="375" t="s">
        <v>88</v>
      </c>
    </row>
    <row r="402" s="109" customFormat="1" ht="30" customHeight="1" spans="1:15">
      <c r="A402" s="374">
        <v>2240106</v>
      </c>
      <c r="B402" s="199" t="s">
        <v>477</v>
      </c>
      <c r="C402" s="375" t="e">
        <f>SUM(#REF!)</f>
        <v>#REF!</v>
      </c>
      <c r="D402" s="120">
        <v>136.55</v>
      </c>
      <c r="E402" s="120">
        <v>0</v>
      </c>
      <c r="F402" s="120">
        <v>136.55</v>
      </c>
      <c r="G402" s="120">
        <v>-4.91</v>
      </c>
      <c r="H402" s="120">
        <v>0</v>
      </c>
      <c r="I402" s="120">
        <v>0</v>
      </c>
      <c r="J402" s="120">
        <f t="shared" si="54"/>
        <v>0</v>
      </c>
      <c r="K402" s="120">
        <v>131.64</v>
      </c>
      <c r="L402" s="120"/>
      <c r="M402" s="120">
        <f t="shared" si="53"/>
        <v>131.64</v>
      </c>
      <c r="N402" s="380">
        <f t="shared" si="55"/>
        <v>-3.59575247162213</v>
      </c>
      <c r="O402" s="375"/>
    </row>
    <row r="403" s="109" customFormat="1" ht="30" customHeight="1" spans="1:15">
      <c r="A403" s="374" t="s">
        <v>478</v>
      </c>
      <c r="B403" s="199" t="s">
        <v>479</v>
      </c>
      <c r="C403" s="375" t="e">
        <f>#REF!</f>
        <v>#REF!</v>
      </c>
      <c r="D403" s="120">
        <v>110</v>
      </c>
      <c r="E403" s="120">
        <v>0</v>
      </c>
      <c r="F403" s="120">
        <v>110</v>
      </c>
      <c r="G403" s="120">
        <v>-43.56</v>
      </c>
      <c r="H403" s="120">
        <v>0</v>
      </c>
      <c r="I403" s="120">
        <v>0</v>
      </c>
      <c r="J403" s="120">
        <f t="shared" si="54"/>
        <v>0</v>
      </c>
      <c r="K403" s="120">
        <v>66.44</v>
      </c>
      <c r="L403" s="120"/>
      <c r="M403" s="120">
        <f t="shared" si="53"/>
        <v>66.44</v>
      </c>
      <c r="N403" s="380">
        <f t="shared" si="55"/>
        <v>-39.6</v>
      </c>
      <c r="O403" s="121"/>
    </row>
    <row r="404" s="109" customFormat="1" ht="30" customHeight="1" spans="1:15">
      <c r="A404" s="374">
        <v>2240150</v>
      </c>
      <c r="B404" s="199" t="s">
        <v>97</v>
      </c>
      <c r="C404" s="375" t="e">
        <f>SUM(#REF!)</f>
        <v>#REF!</v>
      </c>
      <c r="D404" s="120">
        <v>20.9</v>
      </c>
      <c r="E404" s="120">
        <v>0</v>
      </c>
      <c r="F404" s="120">
        <v>20.9</v>
      </c>
      <c r="G404" s="120">
        <v>0</v>
      </c>
      <c r="H404" s="120">
        <v>0</v>
      </c>
      <c r="I404" s="120">
        <v>26.78</v>
      </c>
      <c r="J404" s="120">
        <f t="shared" si="54"/>
        <v>0</v>
      </c>
      <c r="K404" s="120">
        <v>47.68</v>
      </c>
      <c r="L404" s="120"/>
      <c r="M404" s="120">
        <f t="shared" si="53"/>
        <v>47.68</v>
      </c>
      <c r="N404" s="380">
        <f t="shared" si="55"/>
        <v>128.133971291866</v>
      </c>
      <c r="O404" s="375" t="s">
        <v>88</v>
      </c>
    </row>
    <row r="405" s="109" customFormat="1" ht="30" customHeight="1" spans="1:15">
      <c r="A405" s="374">
        <v>2240199</v>
      </c>
      <c r="B405" s="199" t="s">
        <v>480</v>
      </c>
      <c r="C405" s="375" t="e">
        <f>SUM(#REF!)</f>
        <v>#REF!</v>
      </c>
      <c r="D405" s="120">
        <v>913.81</v>
      </c>
      <c r="E405" s="120">
        <v>0</v>
      </c>
      <c r="F405" s="120">
        <v>913.81</v>
      </c>
      <c r="G405" s="120">
        <v>-211.19</v>
      </c>
      <c r="H405" s="120">
        <v>0</v>
      </c>
      <c r="I405" s="120">
        <v>0</v>
      </c>
      <c r="J405" s="120">
        <f t="shared" si="54"/>
        <v>0</v>
      </c>
      <c r="K405" s="120">
        <v>702.62</v>
      </c>
      <c r="L405" s="120"/>
      <c r="M405" s="120">
        <f t="shared" si="53"/>
        <v>702.62</v>
      </c>
      <c r="N405" s="380">
        <f t="shared" si="55"/>
        <v>-23.1109311563673</v>
      </c>
      <c r="O405" s="375"/>
    </row>
    <row r="406" s="109" customFormat="1" ht="30" customHeight="1" spans="1:15">
      <c r="A406" s="374">
        <v>22402</v>
      </c>
      <c r="B406" s="199" t="s">
        <v>481</v>
      </c>
      <c r="C406" s="375" t="e">
        <f t="shared" ref="C406:C410" si="57">C407</f>
        <v>#REF!</v>
      </c>
      <c r="D406" s="120">
        <v>466.96</v>
      </c>
      <c r="E406" s="120">
        <v>43</v>
      </c>
      <c r="F406" s="120">
        <v>509.96</v>
      </c>
      <c r="G406" s="120">
        <v>-71.51</v>
      </c>
      <c r="H406" s="120">
        <v>0</v>
      </c>
      <c r="I406" s="120">
        <v>0</v>
      </c>
      <c r="J406" s="120">
        <f t="shared" si="54"/>
        <v>-30</v>
      </c>
      <c r="K406" s="120">
        <v>395.45</v>
      </c>
      <c r="L406" s="120">
        <v>13</v>
      </c>
      <c r="M406" s="120">
        <f t="shared" si="53"/>
        <v>408.45</v>
      </c>
      <c r="N406" s="380">
        <f t="shared" si="55"/>
        <v>-19.9054827829634</v>
      </c>
      <c r="O406" s="375"/>
    </row>
    <row r="407" s="109" customFormat="1" ht="30" customHeight="1" spans="1:15">
      <c r="A407" s="374">
        <v>2240299</v>
      </c>
      <c r="B407" s="199" t="s">
        <v>482</v>
      </c>
      <c r="C407" s="375" t="e">
        <f>SUM(#REF!)</f>
        <v>#REF!</v>
      </c>
      <c r="D407" s="120">
        <v>466.96</v>
      </c>
      <c r="E407" s="120">
        <v>43</v>
      </c>
      <c r="F407" s="120">
        <v>509.96</v>
      </c>
      <c r="G407" s="120">
        <v>-71.51</v>
      </c>
      <c r="H407" s="120">
        <v>0</v>
      </c>
      <c r="I407" s="120">
        <v>0</v>
      </c>
      <c r="J407" s="120">
        <f t="shared" si="54"/>
        <v>-30</v>
      </c>
      <c r="K407" s="120">
        <v>395.45</v>
      </c>
      <c r="L407" s="120">
        <v>13</v>
      </c>
      <c r="M407" s="120">
        <f t="shared" si="53"/>
        <v>408.45</v>
      </c>
      <c r="N407" s="380">
        <f t="shared" si="55"/>
        <v>-19.9054827829634</v>
      </c>
      <c r="O407" s="375"/>
    </row>
    <row r="408" s="109" customFormat="1" ht="30" customHeight="1" spans="1:15">
      <c r="A408" s="374">
        <v>22405</v>
      </c>
      <c r="B408" s="199" t="s">
        <v>483</v>
      </c>
      <c r="C408" s="375" t="e">
        <f t="shared" si="57"/>
        <v>#REF!</v>
      </c>
      <c r="D408" s="120">
        <v>2</v>
      </c>
      <c r="E408" s="120">
        <v>0</v>
      </c>
      <c r="F408" s="120">
        <v>2</v>
      </c>
      <c r="G408" s="120">
        <v>0</v>
      </c>
      <c r="H408" s="120">
        <v>0</v>
      </c>
      <c r="I408" s="120">
        <v>0</v>
      </c>
      <c r="J408" s="120">
        <f t="shared" si="54"/>
        <v>0</v>
      </c>
      <c r="K408" s="120">
        <v>2</v>
      </c>
      <c r="L408" s="120"/>
      <c r="M408" s="120">
        <f t="shared" si="53"/>
        <v>2</v>
      </c>
      <c r="N408" s="380">
        <f t="shared" si="55"/>
        <v>0</v>
      </c>
      <c r="O408" s="375"/>
    </row>
    <row r="409" s="109" customFormat="1" ht="30" customHeight="1" spans="1:15">
      <c r="A409" s="374">
        <v>2240599</v>
      </c>
      <c r="B409" s="199" t="s">
        <v>484</v>
      </c>
      <c r="C409" s="375" t="e">
        <f>#REF!</f>
        <v>#REF!</v>
      </c>
      <c r="D409" s="120">
        <v>2</v>
      </c>
      <c r="E409" s="120">
        <v>0</v>
      </c>
      <c r="F409" s="120">
        <v>2</v>
      </c>
      <c r="G409" s="120">
        <v>0</v>
      </c>
      <c r="H409" s="120">
        <v>0</v>
      </c>
      <c r="I409" s="120">
        <v>0</v>
      </c>
      <c r="J409" s="120">
        <f t="shared" si="54"/>
        <v>0</v>
      </c>
      <c r="K409" s="120">
        <v>2</v>
      </c>
      <c r="L409" s="120"/>
      <c r="M409" s="120">
        <f t="shared" si="53"/>
        <v>2</v>
      </c>
      <c r="N409" s="380">
        <f t="shared" si="55"/>
        <v>0</v>
      </c>
      <c r="O409" s="375"/>
    </row>
    <row r="410" s="109" customFormat="1" ht="30" customHeight="1" spans="1:15">
      <c r="A410" s="374">
        <v>22406</v>
      </c>
      <c r="B410" s="199" t="s">
        <v>485</v>
      </c>
      <c r="C410" s="375" t="e">
        <f t="shared" si="57"/>
        <v>#REF!</v>
      </c>
      <c r="D410" s="120">
        <v>118.22</v>
      </c>
      <c r="E410" s="120">
        <v>36</v>
      </c>
      <c r="F410" s="120">
        <v>154.22</v>
      </c>
      <c r="G410" s="120">
        <v>-90.1</v>
      </c>
      <c r="H410" s="120">
        <v>0</v>
      </c>
      <c r="I410" s="120">
        <v>0</v>
      </c>
      <c r="J410" s="120">
        <f t="shared" si="54"/>
        <v>-21</v>
      </c>
      <c r="K410" s="120">
        <v>28.12</v>
      </c>
      <c r="L410" s="120">
        <v>15</v>
      </c>
      <c r="M410" s="120">
        <f t="shared" si="53"/>
        <v>43.12</v>
      </c>
      <c r="N410" s="380">
        <f t="shared" si="55"/>
        <v>-72.0399429386591</v>
      </c>
      <c r="O410" s="375"/>
    </row>
    <row r="411" s="109" customFormat="1" ht="30" customHeight="1" spans="1:15">
      <c r="A411" s="374">
        <v>2240601</v>
      </c>
      <c r="B411" s="199" t="s">
        <v>486</v>
      </c>
      <c r="C411" s="375" t="e">
        <f>SUM(#REF!)</f>
        <v>#REF!</v>
      </c>
      <c r="D411" s="120">
        <v>118.22</v>
      </c>
      <c r="E411" s="120">
        <v>36</v>
      </c>
      <c r="F411" s="120">
        <v>154.22</v>
      </c>
      <c r="G411" s="120">
        <v>-90.1</v>
      </c>
      <c r="H411" s="120">
        <v>0</v>
      </c>
      <c r="I411" s="120">
        <v>0</v>
      </c>
      <c r="J411" s="120">
        <f t="shared" si="54"/>
        <v>-21</v>
      </c>
      <c r="K411" s="120">
        <v>28.12</v>
      </c>
      <c r="L411" s="120">
        <v>15</v>
      </c>
      <c r="M411" s="120">
        <f t="shared" si="53"/>
        <v>43.12</v>
      </c>
      <c r="N411" s="380">
        <f t="shared" si="55"/>
        <v>-72.0399429386591</v>
      </c>
      <c r="O411" s="375"/>
    </row>
    <row r="412" s="109" customFormat="1" ht="30" customHeight="1" spans="1:15">
      <c r="A412" s="374">
        <v>227</v>
      </c>
      <c r="B412" s="199" t="s">
        <v>487</v>
      </c>
      <c r="C412" s="375">
        <v>2000</v>
      </c>
      <c r="D412" s="120">
        <v>2000</v>
      </c>
      <c r="E412" s="120">
        <v>0</v>
      </c>
      <c r="F412" s="120">
        <v>2000</v>
      </c>
      <c r="G412" s="120">
        <v>-2000</v>
      </c>
      <c r="H412" s="120">
        <v>0</v>
      </c>
      <c r="I412" s="120">
        <v>0</v>
      </c>
      <c r="J412" s="120">
        <f t="shared" si="54"/>
        <v>0</v>
      </c>
      <c r="K412" s="120">
        <v>0</v>
      </c>
      <c r="L412" s="120"/>
      <c r="M412" s="120">
        <f t="shared" si="53"/>
        <v>0</v>
      </c>
      <c r="N412" s="380">
        <f t="shared" si="55"/>
        <v>-100</v>
      </c>
      <c r="O412" s="375"/>
    </row>
    <row r="413" s="109" customFormat="1" ht="30" customHeight="1" spans="1:15">
      <c r="A413" s="374">
        <v>229</v>
      </c>
      <c r="B413" s="199" t="s">
        <v>488</v>
      </c>
      <c r="C413" s="375" t="e">
        <f t="shared" ref="C413:I413" si="58">C414</f>
        <v>#REF!</v>
      </c>
      <c r="D413" s="120">
        <f t="shared" si="58"/>
        <v>5031.82</v>
      </c>
      <c r="E413" s="120">
        <v>14</v>
      </c>
      <c r="F413" s="120">
        <f>D413+E413</f>
        <v>5045.82</v>
      </c>
      <c r="G413" s="120">
        <f t="shared" si="58"/>
        <v>-1770.729625</v>
      </c>
      <c r="H413" s="120">
        <f t="shared" si="58"/>
        <v>-240.06</v>
      </c>
      <c r="I413" s="120">
        <f t="shared" si="58"/>
        <v>-2553.023119</v>
      </c>
      <c r="J413" s="120">
        <f t="shared" si="54"/>
        <v>-10</v>
      </c>
      <c r="K413" s="120">
        <v>468.007256</v>
      </c>
      <c r="L413" s="120">
        <f>L414</f>
        <v>4</v>
      </c>
      <c r="M413" s="120">
        <f t="shared" si="53"/>
        <v>472.007256</v>
      </c>
      <c r="N413" s="380">
        <f t="shared" si="55"/>
        <v>-90.6455787959142</v>
      </c>
      <c r="O413" s="375"/>
    </row>
    <row r="414" s="109" customFormat="1" ht="30" customHeight="1" spans="1:15">
      <c r="A414" s="374">
        <v>22999</v>
      </c>
      <c r="B414" s="199" t="s">
        <v>488</v>
      </c>
      <c r="C414" s="375" t="e">
        <f>C415</f>
        <v>#REF!</v>
      </c>
      <c r="D414" s="120">
        <v>5031.82</v>
      </c>
      <c r="E414" s="120">
        <v>14</v>
      </c>
      <c r="F414" s="120">
        <v>5045.82</v>
      </c>
      <c r="G414" s="120">
        <v>-1770.729625</v>
      </c>
      <c r="H414" s="120">
        <v>-240.06</v>
      </c>
      <c r="I414" s="120">
        <v>-2553.023119</v>
      </c>
      <c r="J414" s="120">
        <f t="shared" si="54"/>
        <v>-10</v>
      </c>
      <c r="K414" s="120">
        <v>468.007256</v>
      </c>
      <c r="L414" s="120">
        <v>4</v>
      </c>
      <c r="M414" s="120">
        <f t="shared" si="53"/>
        <v>472.007256</v>
      </c>
      <c r="N414" s="380">
        <f t="shared" si="55"/>
        <v>-90.6455787959142</v>
      </c>
      <c r="O414" s="375"/>
    </row>
    <row r="415" s="109" customFormat="1" ht="30" customHeight="1" spans="1:15">
      <c r="A415" s="374">
        <v>2299901</v>
      </c>
      <c r="B415" s="199" t="s">
        <v>488</v>
      </c>
      <c r="C415" s="375" t="e">
        <f>SUM(#REF!)</f>
        <v>#REF!</v>
      </c>
      <c r="D415" s="120">
        <v>5031.82</v>
      </c>
      <c r="E415" s="120"/>
      <c r="F415" s="120">
        <v>5031.82</v>
      </c>
      <c r="G415" s="120">
        <v>-1770.729625</v>
      </c>
      <c r="H415" s="120">
        <v>-240.06</v>
      </c>
      <c r="I415" s="120">
        <v>-2553.023119</v>
      </c>
      <c r="J415" s="120">
        <f t="shared" si="54"/>
        <v>0</v>
      </c>
      <c r="K415" s="120">
        <v>468.007256</v>
      </c>
      <c r="L415" s="120"/>
      <c r="M415" s="120">
        <f t="shared" si="53"/>
        <v>468.007256</v>
      </c>
      <c r="N415" s="380">
        <f t="shared" si="55"/>
        <v>-90.6990461502995</v>
      </c>
      <c r="O415" s="375" t="s">
        <v>88</v>
      </c>
    </row>
    <row r="416" s="109" customFormat="1" ht="30" customHeight="1" spans="1:15">
      <c r="A416" s="374">
        <v>2299999</v>
      </c>
      <c r="B416" s="199" t="s">
        <v>488</v>
      </c>
      <c r="C416" s="375"/>
      <c r="D416" s="120"/>
      <c r="E416" s="120"/>
      <c r="F416" s="120"/>
      <c r="G416" s="120"/>
      <c r="H416" s="120"/>
      <c r="I416" s="120"/>
      <c r="J416" s="120">
        <f t="shared" si="54"/>
        <v>4</v>
      </c>
      <c r="K416" s="120"/>
      <c r="L416" s="120">
        <v>4</v>
      </c>
      <c r="M416" s="120"/>
      <c r="N416" s="380"/>
      <c r="O416" s="375"/>
    </row>
    <row r="417" s="109" customFormat="1" ht="30" customHeight="1" spans="1:15">
      <c r="A417" s="374">
        <v>230</v>
      </c>
      <c r="B417" s="199" t="s">
        <v>489</v>
      </c>
      <c r="C417" s="375" t="e">
        <f t="shared" ref="C417:I417" si="59">C418</f>
        <v>#REF!</v>
      </c>
      <c r="D417" s="120">
        <f t="shared" si="59"/>
        <v>3776.46</v>
      </c>
      <c r="E417" s="120">
        <v>0</v>
      </c>
      <c r="F417" s="120">
        <f>D417+E417</f>
        <v>3776.46</v>
      </c>
      <c r="G417" s="120">
        <f>G418+0.1</f>
        <v>1585.66</v>
      </c>
      <c r="H417" s="120">
        <f t="shared" si="59"/>
        <v>0</v>
      </c>
      <c r="I417" s="120">
        <f t="shared" si="59"/>
        <v>0</v>
      </c>
      <c r="J417" s="120">
        <f t="shared" si="54"/>
        <v>0</v>
      </c>
      <c r="K417" s="120">
        <f>5208.92+153</f>
        <v>5361.92</v>
      </c>
      <c r="L417" s="120">
        <f>L418</f>
        <v>0</v>
      </c>
      <c r="M417" s="120">
        <f t="shared" ref="M417:M428" si="60">K417+L417</f>
        <v>5361.92</v>
      </c>
      <c r="N417" s="380">
        <f t="shared" si="55"/>
        <v>41.9827033782961</v>
      </c>
      <c r="O417" s="375"/>
    </row>
    <row r="418" s="109" customFormat="1" ht="30" customHeight="1" spans="1:15">
      <c r="A418" s="374">
        <v>23006</v>
      </c>
      <c r="B418" s="199" t="s">
        <v>490</v>
      </c>
      <c r="C418" s="375" t="e">
        <f t="shared" ref="C418:C424" si="61">C419</f>
        <v>#REF!</v>
      </c>
      <c r="D418" s="120">
        <v>3776.46</v>
      </c>
      <c r="E418" s="120">
        <v>0</v>
      </c>
      <c r="F418" s="120">
        <v>3776.46</v>
      </c>
      <c r="G418" s="120">
        <f>1432.46+153+0.1</f>
        <v>1585.56</v>
      </c>
      <c r="H418" s="120">
        <v>0</v>
      </c>
      <c r="I418" s="120">
        <v>0</v>
      </c>
      <c r="J418" s="120">
        <f t="shared" si="54"/>
        <v>0</v>
      </c>
      <c r="K418" s="120">
        <f>5208.92+153</f>
        <v>5361.92</v>
      </c>
      <c r="L418" s="120"/>
      <c r="M418" s="120">
        <f t="shared" si="60"/>
        <v>5361.92</v>
      </c>
      <c r="N418" s="380">
        <f t="shared" si="55"/>
        <v>41.9827033782961</v>
      </c>
      <c r="O418" s="375"/>
    </row>
    <row r="419" s="109" customFormat="1" ht="50" customHeight="1" spans="1:15">
      <c r="A419" s="374">
        <v>2300602</v>
      </c>
      <c r="B419" s="199" t="s">
        <v>491</v>
      </c>
      <c r="C419" s="375" t="e">
        <f>SUM(#REF!)</f>
        <v>#REF!</v>
      </c>
      <c r="D419" s="120">
        <v>3776.46</v>
      </c>
      <c r="E419" s="120">
        <v>0</v>
      </c>
      <c r="F419" s="120">
        <v>3776.46</v>
      </c>
      <c r="G419" s="120">
        <f>1432.46+153+0.1</f>
        <v>1585.56</v>
      </c>
      <c r="H419" s="120">
        <v>0</v>
      </c>
      <c r="I419" s="120">
        <v>0</v>
      </c>
      <c r="J419" s="120">
        <f t="shared" si="54"/>
        <v>0</v>
      </c>
      <c r="K419" s="120">
        <f>5208.92+153</f>
        <v>5361.92</v>
      </c>
      <c r="L419" s="120"/>
      <c r="M419" s="120">
        <f t="shared" si="60"/>
        <v>5361.92</v>
      </c>
      <c r="N419" s="380">
        <f t="shared" si="55"/>
        <v>41.9827033782961</v>
      </c>
      <c r="O419" s="375" t="s">
        <v>492</v>
      </c>
    </row>
    <row r="420" s="109" customFormat="1" ht="30" customHeight="1" spans="1:15">
      <c r="A420" s="374">
        <v>231</v>
      </c>
      <c r="B420" s="199" t="s">
        <v>493</v>
      </c>
      <c r="C420" s="375" t="e">
        <f t="shared" ref="C420:I420" si="62">C421</f>
        <v>#REF!</v>
      </c>
      <c r="D420" s="120">
        <v>57388</v>
      </c>
      <c r="E420" s="120">
        <v>0</v>
      </c>
      <c r="F420" s="120">
        <f>D420+E420</f>
        <v>57388</v>
      </c>
      <c r="G420" s="120">
        <f t="shared" si="62"/>
        <v>0</v>
      </c>
      <c r="H420" s="120">
        <f t="shared" si="62"/>
        <v>0</v>
      </c>
      <c r="I420" s="120">
        <f t="shared" si="62"/>
        <v>0</v>
      </c>
      <c r="J420" s="120">
        <f t="shared" si="54"/>
        <v>0</v>
      </c>
      <c r="K420" s="120">
        <v>57388</v>
      </c>
      <c r="L420" s="120"/>
      <c r="M420" s="120">
        <f t="shared" si="60"/>
        <v>57388</v>
      </c>
      <c r="N420" s="380">
        <f t="shared" si="55"/>
        <v>0</v>
      </c>
      <c r="O420" s="375"/>
    </row>
    <row r="421" s="109" customFormat="1" ht="30" customHeight="1" spans="1:15">
      <c r="A421" s="374">
        <v>23103</v>
      </c>
      <c r="B421" s="199" t="s">
        <v>494</v>
      </c>
      <c r="C421" s="375" t="e">
        <f t="shared" si="61"/>
        <v>#REF!</v>
      </c>
      <c r="D421" s="120">
        <v>57388</v>
      </c>
      <c r="E421" s="120">
        <v>0</v>
      </c>
      <c r="F421" s="120">
        <v>57388</v>
      </c>
      <c r="G421" s="120">
        <v>0</v>
      </c>
      <c r="H421" s="120">
        <v>0</v>
      </c>
      <c r="I421" s="120">
        <v>0</v>
      </c>
      <c r="J421" s="120">
        <f t="shared" si="54"/>
        <v>0</v>
      </c>
      <c r="K421" s="120">
        <v>57388</v>
      </c>
      <c r="L421" s="120"/>
      <c r="M421" s="120">
        <f t="shared" si="60"/>
        <v>57388</v>
      </c>
      <c r="N421" s="380">
        <f t="shared" si="55"/>
        <v>0</v>
      </c>
      <c r="O421" s="375"/>
    </row>
    <row r="422" s="109" customFormat="1" ht="30" customHeight="1" spans="1:15">
      <c r="A422" s="374">
        <v>2310301</v>
      </c>
      <c r="B422" s="199" t="s">
        <v>495</v>
      </c>
      <c r="C422" s="375" t="e">
        <f>#REF!+#REF!</f>
        <v>#REF!</v>
      </c>
      <c r="D422" s="120">
        <v>57388</v>
      </c>
      <c r="E422" s="120">
        <v>0</v>
      </c>
      <c r="F422" s="120">
        <v>57388</v>
      </c>
      <c r="G422" s="120">
        <v>0</v>
      </c>
      <c r="H422" s="120">
        <v>0</v>
      </c>
      <c r="I422" s="120">
        <v>0</v>
      </c>
      <c r="J422" s="120">
        <f t="shared" si="54"/>
        <v>0</v>
      </c>
      <c r="K422" s="120">
        <v>57388</v>
      </c>
      <c r="L422" s="120"/>
      <c r="M422" s="120">
        <f t="shared" si="60"/>
        <v>57388</v>
      </c>
      <c r="N422" s="380">
        <f t="shared" si="55"/>
        <v>0</v>
      </c>
      <c r="O422" s="375"/>
    </row>
    <row r="423" s="109" customFormat="1" ht="30" customHeight="1" spans="1:15">
      <c r="A423" s="374">
        <v>232</v>
      </c>
      <c r="B423" s="199" t="s">
        <v>496</v>
      </c>
      <c r="C423" s="375" t="e">
        <f t="shared" si="61"/>
        <v>#REF!</v>
      </c>
      <c r="D423" s="120">
        <v>2612.5</v>
      </c>
      <c r="E423" s="120">
        <v>0</v>
      </c>
      <c r="F423" s="120">
        <f t="shared" ref="F423:F428" si="63">D423+E423</f>
        <v>2612.5</v>
      </c>
      <c r="G423" s="120">
        <f t="shared" ref="G423:I423" si="64">G424</f>
        <v>0</v>
      </c>
      <c r="H423" s="120">
        <f t="shared" si="64"/>
        <v>0</v>
      </c>
      <c r="I423" s="120">
        <f t="shared" si="64"/>
        <v>0</v>
      </c>
      <c r="J423" s="120">
        <f t="shared" si="54"/>
        <v>0</v>
      </c>
      <c r="K423" s="120">
        <v>2612.5</v>
      </c>
      <c r="L423" s="120"/>
      <c r="M423" s="120">
        <f t="shared" si="60"/>
        <v>2612.5</v>
      </c>
      <c r="N423" s="380">
        <f t="shared" si="55"/>
        <v>0</v>
      </c>
      <c r="O423" s="375"/>
    </row>
    <row r="424" s="109" customFormat="1" ht="30" customHeight="1" spans="1:15">
      <c r="A424" s="374">
        <v>23203</v>
      </c>
      <c r="B424" s="199" t="s">
        <v>497</v>
      </c>
      <c r="C424" s="375" t="e">
        <f t="shared" si="61"/>
        <v>#REF!</v>
      </c>
      <c r="D424" s="120">
        <v>2612.5</v>
      </c>
      <c r="E424" s="120">
        <v>0</v>
      </c>
      <c r="F424" s="120">
        <v>2612.5</v>
      </c>
      <c r="G424" s="120">
        <v>0</v>
      </c>
      <c r="H424" s="120">
        <v>0</v>
      </c>
      <c r="I424" s="120">
        <v>0</v>
      </c>
      <c r="J424" s="120">
        <f t="shared" si="54"/>
        <v>0</v>
      </c>
      <c r="K424" s="120">
        <v>2612.5</v>
      </c>
      <c r="L424" s="120"/>
      <c r="M424" s="120">
        <f t="shared" si="60"/>
        <v>2612.5</v>
      </c>
      <c r="N424" s="380">
        <f t="shared" si="55"/>
        <v>0</v>
      </c>
      <c r="O424" s="375"/>
    </row>
    <row r="425" s="109" customFormat="1" ht="30" customHeight="1" spans="1:15">
      <c r="A425" s="374">
        <v>2320301</v>
      </c>
      <c r="B425" s="199" t="s">
        <v>498</v>
      </c>
      <c r="C425" s="375" t="e">
        <f>#REF!</f>
        <v>#REF!</v>
      </c>
      <c r="D425" s="120">
        <v>2612.5</v>
      </c>
      <c r="E425" s="120">
        <v>0</v>
      </c>
      <c r="F425" s="120">
        <v>2612.5</v>
      </c>
      <c r="G425" s="120">
        <v>0</v>
      </c>
      <c r="H425" s="120">
        <v>0</v>
      </c>
      <c r="I425" s="120">
        <v>0</v>
      </c>
      <c r="J425" s="120">
        <f t="shared" si="54"/>
        <v>0</v>
      </c>
      <c r="K425" s="120">
        <v>2612.5</v>
      </c>
      <c r="L425" s="120"/>
      <c r="M425" s="120">
        <f t="shared" si="60"/>
        <v>2612.5</v>
      </c>
      <c r="N425" s="380">
        <f t="shared" si="55"/>
        <v>0</v>
      </c>
      <c r="O425" s="375"/>
    </row>
    <row r="426" s="109" customFormat="1" ht="30" customHeight="1" spans="1:15">
      <c r="A426" s="374">
        <v>233</v>
      </c>
      <c r="B426" s="199" t="s">
        <v>499</v>
      </c>
      <c r="C426" s="375" t="e">
        <f t="shared" ref="C426:I426" si="65">C427</f>
        <v>#REF!</v>
      </c>
      <c r="D426" s="120">
        <v>50</v>
      </c>
      <c r="E426" s="120">
        <v>0</v>
      </c>
      <c r="F426" s="120">
        <f t="shared" si="63"/>
        <v>50</v>
      </c>
      <c r="G426" s="120">
        <f t="shared" si="65"/>
        <v>-48.9</v>
      </c>
      <c r="H426" s="120">
        <f t="shared" si="65"/>
        <v>0</v>
      </c>
      <c r="I426" s="120">
        <f t="shared" si="65"/>
        <v>0</v>
      </c>
      <c r="J426" s="120">
        <f t="shared" si="54"/>
        <v>0</v>
      </c>
      <c r="K426" s="120">
        <v>1.1</v>
      </c>
      <c r="L426" s="120"/>
      <c r="M426" s="120">
        <f t="shared" si="60"/>
        <v>1.1</v>
      </c>
      <c r="N426" s="380">
        <f t="shared" si="55"/>
        <v>-97.8</v>
      </c>
      <c r="O426" s="375"/>
    </row>
    <row r="427" s="109" customFormat="1" ht="30" customHeight="1" spans="1:15">
      <c r="A427" s="374">
        <v>23303</v>
      </c>
      <c r="B427" s="199" t="s">
        <v>500</v>
      </c>
      <c r="C427" s="375" t="e">
        <f>#REF!+0</f>
        <v>#REF!</v>
      </c>
      <c r="D427" s="120">
        <v>50</v>
      </c>
      <c r="E427" s="120">
        <v>0</v>
      </c>
      <c r="F427" s="120">
        <v>50</v>
      </c>
      <c r="G427" s="120">
        <v>-48.9</v>
      </c>
      <c r="H427" s="120">
        <v>0</v>
      </c>
      <c r="I427" s="120">
        <v>0</v>
      </c>
      <c r="J427" s="120">
        <f t="shared" si="54"/>
        <v>0</v>
      </c>
      <c r="K427" s="120">
        <v>1.1</v>
      </c>
      <c r="L427" s="120"/>
      <c r="M427" s="120">
        <f t="shared" si="60"/>
        <v>1.1</v>
      </c>
      <c r="N427" s="380">
        <f t="shared" si="55"/>
        <v>-97.8</v>
      </c>
      <c r="O427" s="375"/>
    </row>
    <row r="428" s="365" customFormat="1" ht="30" customHeight="1" spans="1:15">
      <c r="A428" s="383" t="s">
        <v>67</v>
      </c>
      <c r="B428" s="383"/>
      <c r="C428" s="384" t="e">
        <f t="shared" ref="C428:H428" si="66">C426+C423+C420+C417+C413+C412+C399+C393+C386+C375+C370+C363+C356+C350+C313+C299+C289+C248+C176+C161+C152+C127+C106+C98+C6</f>
        <v>#REF!</v>
      </c>
      <c r="D428" s="141">
        <f>D426+D423+D420+D417+D413+D412+D399+D393+D386+D375+D370+D363+D356+D350+D313+D299+D289+D248+D176+D161+D152+D127+D106+D98+D6-2</f>
        <v>247426.780139</v>
      </c>
      <c r="E428" s="141">
        <v>69665.865132</v>
      </c>
      <c r="F428" s="141">
        <f t="shared" si="63"/>
        <v>317092.645271</v>
      </c>
      <c r="G428" s="141">
        <f t="shared" si="66"/>
        <v>-47248.152991</v>
      </c>
      <c r="H428" s="141">
        <f t="shared" si="66"/>
        <v>-1250.61</v>
      </c>
      <c r="I428" s="141">
        <f>I426+I423+I420+I417+I413+I412+I399+I393+I386+I375+I370+I363+I356+I350+I313+I299+I289+I248+I176+I161+I152+I127+I106+I98+I6+1.19</f>
        <v>-0.00260480000014018</v>
      </c>
      <c r="J428" s="141">
        <f t="shared" si="54"/>
        <v>-6704.16513200001</v>
      </c>
      <c r="K428" s="141">
        <f>K426+K423+K420+K417+K413+K412+K399+K393+K386+K375+K370+K363+K356+K350+K313+K299+K289+K248+K176+K161+K152+K127+K106+K98+K6+2.2</f>
        <v>198927.9741042</v>
      </c>
      <c r="L428" s="141">
        <f>L426+L423+L420+L417+L413+L412+L399+L393+L386+L375+L370+L363+L356+L350+L313+L299+L289+L248+L176+L161+L152+L127+L106+L98+L6</f>
        <v>62961.7</v>
      </c>
      <c r="M428" s="141">
        <f t="shared" si="60"/>
        <v>261889.6741042</v>
      </c>
      <c r="N428" s="385">
        <f t="shared" si="55"/>
        <v>-17.4090985679032</v>
      </c>
      <c r="O428" s="384"/>
    </row>
  </sheetData>
  <autoFilter xmlns:etc="http://www.wps.cn/officeDocument/2017/etCustomData" ref="A5:IV428" etc:filterBottomFollowUsedRange="0">
    <extLst/>
  </autoFilter>
  <mergeCells count="10">
    <mergeCell ref="A2:O2"/>
    <mergeCell ref="D4:F4"/>
    <mergeCell ref="G4:J4"/>
    <mergeCell ref="K4:M4"/>
    <mergeCell ref="A428:B428"/>
    <mergeCell ref="A4:A5"/>
    <mergeCell ref="B4:B5"/>
    <mergeCell ref="C4:C5"/>
    <mergeCell ref="N4:N5"/>
    <mergeCell ref="O4:O5"/>
  </mergeCells>
  <printOptions horizontalCentered="1"/>
  <pageMargins left="0.786805555555556" right="0.786805555555556" top="0.393055555555556" bottom="0.393055555555556" header="0.196527777777778" footer="0.196527777777778"/>
  <pageSetup paperSize="9" scale="52"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50"/>
  <sheetViews>
    <sheetView showZeros="0" workbookViewId="0">
      <pane ySplit="5" topLeftCell="A639" activePane="bottomLeft" state="frozen"/>
      <selection/>
      <selection pane="bottomLeft" activeCell="H9" sqref="H9"/>
    </sheetView>
  </sheetViews>
  <sheetFormatPr defaultColWidth="9" defaultRowHeight="14.25"/>
  <cols>
    <col min="1" max="1" width="10.625" style="1" customWidth="1"/>
    <col min="2" max="2" width="8.65" style="101" hidden="1" customWidth="1"/>
    <col min="3" max="3" width="25.625" style="101" customWidth="1"/>
    <col min="4" max="4" width="75.625" style="104" customWidth="1"/>
    <col min="5" max="7" width="15.625" style="328" customWidth="1"/>
    <col min="8" max="8" width="25.625" style="329" customWidth="1"/>
    <col min="9" max="9" width="10.375" style="6" hidden="1" customWidth="1"/>
    <col min="10" max="10" width="9" style="101" hidden="1" customWidth="1"/>
    <col min="11" max="11" width="9.25" style="1" hidden="1" customWidth="1"/>
    <col min="12" max="12" width="9.125" style="101" customWidth="1"/>
    <col min="13" max="16384" width="9" style="101"/>
  </cols>
  <sheetData>
    <row r="1" ht="20" customHeight="1" spans="1:4">
      <c r="A1" s="80" t="s">
        <v>501</v>
      </c>
      <c r="B1" s="7"/>
      <c r="C1" s="129"/>
      <c r="D1" s="163"/>
    </row>
    <row r="2" ht="30" customHeight="1" spans="1:9">
      <c r="A2" s="8" t="s">
        <v>502</v>
      </c>
      <c r="B2" s="8"/>
      <c r="C2" s="8"/>
      <c r="D2" s="8"/>
      <c r="E2" s="330"/>
      <c r="F2" s="330"/>
      <c r="G2" s="330"/>
      <c r="H2" s="331"/>
      <c r="I2" s="331"/>
    </row>
    <row r="3" ht="20" customHeight="1" spans="1:9">
      <c r="A3" s="4"/>
      <c r="B3" s="4"/>
      <c r="C3" s="4"/>
      <c r="D3" s="332"/>
      <c r="E3" s="333"/>
      <c r="F3" s="333"/>
      <c r="G3" s="333"/>
      <c r="H3" s="334" t="s">
        <v>5</v>
      </c>
      <c r="I3" s="10"/>
    </row>
    <row r="4" s="109" customFormat="1" ht="25" customHeight="1" spans="1:11">
      <c r="A4" s="12" t="s">
        <v>503</v>
      </c>
      <c r="B4" s="13" t="s">
        <v>504</v>
      </c>
      <c r="C4" s="13" t="s">
        <v>505</v>
      </c>
      <c r="D4" s="13" t="s">
        <v>506</v>
      </c>
      <c r="E4" s="134" t="s">
        <v>507</v>
      </c>
      <c r="F4" s="134" t="s">
        <v>508</v>
      </c>
      <c r="G4" s="134" t="s">
        <v>9</v>
      </c>
      <c r="H4" s="335" t="s">
        <v>11</v>
      </c>
      <c r="I4" s="345" t="s">
        <v>509</v>
      </c>
      <c r="J4" s="346" t="s">
        <v>510</v>
      </c>
      <c r="K4" s="347" t="s">
        <v>511</v>
      </c>
    </row>
    <row r="5" s="109" customFormat="1" ht="25" customHeight="1" spans="1:11">
      <c r="A5" s="12"/>
      <c r="B5" s="13"/>
      <c r="C5" s="13"/>
      <c r="D5" s="13"/>
      <c r="E5" s="134"/>
      <c r="F5" s="134"/>
      <c r="G5" s="134"/>
      <c r="H5" s="335"/>
      <c r="I5" s="348"/>
      <c r="J5" s="349"/>
      <c r="K5" s="350"/>
    </row>
    <row r="6" s="326" customFormat="1" ht="25" customHeight="1" spans="1:11">
      <c r="A6" s="336" t="s">
        <v>67</v>
      </c>
      <c r="B6" s="336"/>
      <c r="C6" s="336"/>
      <c r="D6" s="336"/>
      <c r="E6" s="337">
        <v>247427.305596</v>
      </c>
      <c r="F6" s="337">
        <f>F7+F8+F9+F10</f>
        <v>-48499.222688</v>
      </c>
      <c r="G6" s="337">
        <f>G7+G8+G9+G10</f>
        <v>198928.082908</v>
      </c>
      <c r="H6" s="338"/>
      <c r="I6" s="338">
        <f t="shared" ref="I6:K6" si="0">I7+I8+I9+I10</f>
        <v>25905.204411</v>
      </c>
      <c r="J6" s="351">
        <f t="shared" si="0"/>
        <v>957236.37</v>
      </c>
      <c r="K6" s="352">
        <f t="shared" si="0"/>
        <v>10185.094813</v>
      </c>
    </row>
    <row r="7" s="326" customFormat="1" ht="25" customHeight="1" spans="1:11">
      <c r="A7" s="336" t="s">
        <v>512</v>
      </c>
      <c r="B7" s="336"/>
      <c r="C7" s="336"/>
      <c r="D7" s="336"/>
      <c r="E7" s="337">
        <v>103092.517903</v>
      </c>
      <c r="F7" s="337">
        <v>-2789.96</v>
      </c>
      <c r="G7" s="337">
        <f>F7+E7</f>
        <v>100302.557903</v>
      </c>
      <c r="H7" s="338"/>
      <c r="I7" s="338">
        <v>393.37</v>
      </c>
      <c r="J7" s="351">
        <v>393.37</v>
      </c>
      <c r="K7" s="352">
        <v>393</v>
      </c>
    </row>
    <row r="8" s="326" customFormat="1" ht="25" customHeight="1" spans="1:11">
      <c r="A8" s="336" t="s">
        <v>513</v>
      </c>
      <c r="B8" s="336"/>
      <c r="C8" s="336"/>
      <c r="D8" s="336"/>
      <c r="E8" s="337">
        <v>48500</v>
      </c>
      <c r="F8" s="337"/>
      <c r="G8" s="337">
        <f>10500+38000</f>
        <v>48500</v>
      </c>
      <c r="H8" s="338"/>
      <c r="I8" s="338"/>
      <c r="K8" s="353"/>
    </row>
    <row r="9" s="326" customFormat="1" ht="25" customHeight="1" spans="1:11">
      <c r="A9" s="336" t="s">
        <v>514</v>
      </c>
      <c r="B9" s="336"/>
      <c r="C9" s="336"/>
      <c r="D9" s="336"/>
      <c r="E9" s="337">
        <f>E6-E7-E8-E10</f>
        <v>29732.263087</v>
      </c>
      <c r="F9" s="337"/>
      <c r="G9" s="337">
        <f>E9</f>
        <v>29732.263087</v>
      </c>
      <c r="H9" s="338"/>
      <c r="I9" s="338"/>
      <c r="K9" s="353"/>
    </row>
    <row r="10" s="326" customFormat="1" ht="25" customHeight="1" spans="1:11">
      <c r="A10" s="336" t="s">
        <v>515</v>
      </c>
      <c r="B10" s="336"/>
      <c r="C10" s="336"/>
      <c r="D10" s="336"/>
      <c r="E10" s="337">
        <f>SUM(E11:E773)</f>
        <v>66102.524606</v>
      </c>
      <c r="F10" s="337">
        <f>SUM(F11:F773)</f>
        <v>-45709.262688</v>
      </c>
      <c r="G10" s="337">
        <f>SUM(G11:G773)</f>
        <v>20393.261918</v>
      </c>
      <c r="H10" s="338"/>
      <c r="I10" s="338">
        <f t="shared" ref="I10:K10" si="1">SUM(I11:I773)</f>
        <v>25511.834411</v>
      </c>
      <c r="J10" s="351">
        <f t="shared" si="1"/>
        <v>956843</v>
      </c>
      <c r="K10" s="352">
        <f t="shared" si="1"/>
        <v>9792.094813</v>
      </c>
    </row>
    <row r="11" s="327" customFormat="1" ht="25" customHeight="1" spans="1:11">
      <c r="A11" s="339">
        <v>1</v>
      </c>
      <c r="B11" s="340" t="s">
        <v>516</v>
      </c>
      <c r="C11" s="341" t="s">
        <v>517</v>
      </c>
      <c r="D11" s="342" t="s">
        <v>518</v>
      </c>
      <c r="E11" s="343">
        <v>9.91</v>
      </c>
      <c r="F11" s="343">
        <v>-4.95</v>
      </c>
      <c r="G11" s="343">
        <v>4.96</v>
      </c>
      <c r="H11" s="344"/>
      <c r="I11" s="354"/>
      <c r="J11" s="355"/>
      <c r="K11" s="356"/>
    </row>
    <row r="12" s="327" customFormat="1" ht="25" customHeight="1" spans="1:11">
      <c r="A12" s="339">
        <v>2</v>
      </c>
      <c r="B12" s="340" t="s">
        <v>516</v>
      </c>
      <c r="C12" s="341" t="s">
        <v>517</v>
      </c>
      <c r="D12" s="342" t="s">
        <v>519</v>
      </c>
      <c r="E12" s="343">
        <v>75</v>
      </c>
      <c r="F12" s="343">
        <v>-75</v>
      </c>
      <c r="G12" s="343">
        <v>0</v>
      </c>
      <c r="H12" s="344"/>
      <c r="I12" s="354">
        <v>75</v>
      </c>
      <c r="J12" s="355"/>
      <c r="K12" s="356"/>
    </row>
    <row r="13" s="327" customFormat="1" ht="25" customHeight="1" spans="1:11">
      <c r="A13" s="339">
        <v>3</v>
      </c>
      <c r="B13" s="340" t="s">
        <v>516</v>
      </c>
      <c r="C13" s="341" t="s">
        <v>517</v>
      </c>
      <c r="D13" s="342" t="s">
        <v>520</v>
      </c>
      <c r="E13" s="343">
        <v>255</v>
      </c>
      <c r="F13" s="343">
        <v>-255</v>
      </c>
      <c r="G13" s="343">
        <v>0</v>
      </c>
      <c r="H13" s="344"/>
      <c r="I13" s="354"/>
      <c r="J13" s="355"/>
      <c r="K13" s="356"/>
    </row>
    <row r="14" s="327" customFormat="1" ht="25" customHeight="1" spans="1:11">
      <c r="A14" s="339">
        <v>4</v>
      </c>
      <c r="B14" s="340" t="s">
        <v>521</v>
      </c>
      <c r="C14" s="341" t="s">
        <v>517</v>
      </c>
      <c r="D14" s="342" t="s">
        <v>522</v>
      </c>
      <c r="E14" s="343">
        <v>15.97</v>
      </c>
      <c r="F14" s="343">
        <v>-10.97</v>
      </c>
      <c r="G14" s="343">
        <v>5</v>
      </c>
      <c r="H14" s="344"/>
      <c r="I14" s="354">
        <v>10.97</v>
      </c>
      <c r="J14" s="355"/>
      <c r="K14" s="357">
        <v>10.97</v>
      </c>
    </row>
    <row r="15" s="327" customFormat="1" ht="25" customHeight="1" spans="1:11">
      <c r="A15" s="339">
        <v>5</v>
      </c>
      <c r="B15" s="340" t="s">
        <v>521</v>
      </c>
      <c r="C15" s="341" t="s">
        <v>517</v>
      </c>
      <c r="D15" s="342" t="s">
        <v>523</v>
      </c>
      <c r="E15" s="343">
        <v>112.58</v>
      </c>
      <c r="F15" s="343">
        <v>-57.3756</v>
      </c>
      <c r="G15" s="343">
        <v>55.2044</v>
      </c>
      <c r="H15" s="344"/>
      <c r="I15" s="354">
        <v>57.3756</v>
      </c>
      <c r="J15" s="355"/>
      <c r="K15" s="357">
        <v>57.3756</v>
      </c>
    </row>
    <row r="16" s="327" customFormat="1" ht="25" customHeight="1" spans="1:11">
      <c r="A16" s="339">
        <v>6</v>
      </c>
      <c r="B16" s="340" t="s">
        <v>521</v>
      </c>
      <c r="C16" s="341" t="s">
        <v>517</v>
      </c>
      <c r="D16" s="342" t="s">
        <v>524</v>
      </c>
      <c r="E16" s="343">
        <v>124</v>
      </c>
      <c r="F16" s="343">
        <v>-96</v>
      </c>
      <c r="G16" s="343">
        <v>28</v>
      </c>
      <c r="H16" s="344"/>
      <c r="I16" s="354">
        <v>96</v>
      </c>
      <c r="J16" s="355"/>
      <c r="K16" s="356"/>
    </row>
    <row r="17" s="327" customFormat="1" ht="25" customHeight="1" spans="1:11">
      <c r="A17" s="339">
        <v>7</v>
      </c>
      <c r="B17" s="340" t="s">
        <v>516</v>
      </c>
      <c r="C17" s="341" t="s">
        <v>517</v>
      </c>
      <c r="D17" s="342" t="s">
        <v>525</v>
      </c>
      <c r="E17" s="343">
        <v>59</v>
      </c>
      <c r="F17" s="343">
        <v>-59</v>
      </c>
      <c r="G17" s="343">
        <v>0</v>
      </c>
      <c r="H17" s="344"/>
      <c r="I17" s="354">
        <v>40</v>
      </c>
      <c r="J17" s="355"/>
      <c r="K17" s="356">
        <v>40</v>
      </c>
    </row>
    <row r="18" s="327" customFormat="1" ht="25" customHeight="1" spans="1:11">
      <c r="A18" s="339">
        <v>8</v>
      </c>
      <c r="B18" s="340" t="s">
        <v>516</v>
      </c>
      <c r="C18" s="341" t="s">
        <v>517</v>
      </c>
      <c r="D18" s="342" t="s">
        <v>526</v>
      </c>
      <c r="E18" s="343">
        <v>754.08</v>
      </c>
      <c r="F18" s="343">
        <v>-325.92</v>
      </c>
      <c r="G18" s="343">
        <v>428.16</v>
      </c>
      <c r="H18" s="344"/>
      <c r="I18" s="354">
        <v>0</v>
      </c>
      <c r="J18" s="355"/>
      <c r="K18" s="356"/>
    </row>
    <row r="19" s="327" customFormat="1" ht="25" customHeight="1" spans="1:11">
      <c r="A19" s="339">
        <v>9</v>
      </c>
      <c r="B19" s="340" t="s">
        <v>516</v>
      </c>
      <c r="C19" s="341" t="s">
        <v>517</v>
      </c>
      <c r="D19" s="342" t="s">
        <v>527</v>
      </c>
      <c r="E19" s="343">
        <v>288</v>
      </c>
      <c r="F19" s="343">
        <v>-288</v>
      </c>
      <c r="G19" s="343">
        <v>0</v>
      </c>
      <c r="H19" s="344"/>
      <c r="I19" s="354">
        <v>245.928</v>
      </c>
      <c r="J19" s="355"/>
      <c r="K19" s="356">
        <v>245.93</v>
      </c>
    </row>
    <row r="20" s="327" customFormat="1" ht="25" customHeight="1" spans="1:11">
      <c r="A20" s="339">
        <v>10</v>
      </c>
      <c r="B20" s="340" t="s">
        <v>516</v>
      </c>
      <c r="C20" s="341" t="s">
        <v>517</v>
      </c>
      <c r="D20" s="342" t="s">
        <v>528</v>
      </c>
      <c r="E20" s="343">
        <v>90</v>
      </c>
      <c r="F20" s="343">
        <v>-23.74</v>
      </c>
      <c r="G20" s="343">
        <v>66.26</v>
      </c>
      <c r="H20" s="344"/>
      <c r="I20" s="354">
        <v>0</v>
      </c>
      <c r="J20" s="355"/>
      <c r="K20" s="356"/>
    </row>
    <row r="21" s="327" customFormat="1" ht="25" customHeight="1" spans="1:11">
      <c r="A21" s="339">
        <v>11</v>
      </c>
      <c r="B21" s="340" t="s">
        <v>516</v>
      </c>
      <c r="C21" s="341" t="s">
        <v>517</v>
      </c>
      <c r="D21" s="342" t="s">
        <v>529</v>
      </c>
      <c r="E21" s="343">
        <v>10.8</v>
      </c>
      <c r="F21" s="343">
        <v>-10.8</v>
      </c>
      <c r="G21" s="343">
        <v>0</v>
      </c>
      <c r="H21" s="344"/>
      <c r="I21" s="354">
        <v>10.8</v>
      </c>
      <c r="J21" s="355"/>
      <c r="K21" s="356">
        <v>10.8</v>
      </c>
    </row>
    <row r="22" s="327" customFormat="1" ht="25" customHeight="1" spans="1:11">
      <c r="A22" s="339">
        <v>12</v>
      </c>
      <c r="B22" s="340" t="s">
        <v>516</v>
      </c>
      <c r="C22" s="341" t="s">
        <v>517</v>
      </c>
      <c r="D22" s="342" t="s">
        <v>530</v>
      </c>
      <c r="E22" s="343">
        <v>180</v>
      </c>
      <c r="F22" s="343">
        <v>-176.4</v>
      </c>
      <c r="G22" s="343">
        <v>3.6</v>
      </c>
      <c r="H22" s="344"/>
      <c r="I22" s="354">
        <v>176.4</v>
      </c>
      <c r="J22" s="355"/>
      <c r="K22" s="356">
        <v>176.4</v>
      </c>
    </row>
    <row r="23" s="327" customFormat="1" ht="25" customHeight="1" spans="1:11">
      <c r="A23" s="339">
        <v>13</v>
      </c>
      <c r="B23" s="340" t="s">
        <v>516</v>
      </c>
      <c r="C23" s="341" t="s">
        <v>517</v>
      </c>
      <c r="D23" s="342" t="s">
        <v>531</v>
      </c>
      <c r="E23" s="343">
        <v>100</v>
      </c>
      <c r="F23" s="343">
        <v>-14.84</v>
      </c>
      <c r="G23" s="343">
        <v>85.16</v>
      </c>
      <c r="H23" s="344"/>
      <c r="I23" s="354">
        <v>0</v>
      </c>
      <c r="J23" s="355"/>
      <c r="K23" s="356"/>
    </row>
    <row r="24" s="327" customFormat="1" ht="25" customHeight="1" spans="1:11">
      <c r="A24" s="339">
        <v>14</v>
      </c>
      <c r="B24" s="340" t="s">
        <v>516</v>
      </c>
      <c r="C24" s="341" t="s">
        <v>517</v>
      </c>
      <c r="D24" s="342" t="s">
        <v>532</v>
      </c>
      <c r="E24" s="343">
        <v>125</v>
      </c>
      <c r="F24" s="343">
        <v>-13.82</v>
      </c>
      <c r="G24" s="343">
        <v>111.18</v>
      </c>
      <c r="H24" s="344"/>
      <c r="I24" s="354">
        <v>0</v>
      </c>
      <c r="J24" s="355"/>
      <c r="K24" s="356"/>
    </row>
    <row r="25" s="327" customFormat="1" ht="25" customHeight="1" spans="1:11">
      <c r="A25" s="339">
        <v>15</v>
      </c>
      <c r="B25" s="340" t="s">
        <v>516</v>
      </c>
      <c r="C25" s="341" t="s">
        <v>517</v>
      </c>
      <c r="D25" s="342" t="s">
        <v>533</v>
      </c>
      <c r="E25" s="343">
        <v>78</v>
      </c>
      <c r="F25" s="343">
        <v>-23.15</v>
      </c>
      <c r="G25" s="343">
        <v>54.85</v>
      </c>
      <c r="H25" s="344"/>
      <c r="I25" s="354">
        <v>13.1</v>
      </c>
      <c r="J25" s="355"/>
      <c r="K25" s="356">
        <v>13.1</v>
      </c>
    </row>
    <row r="26" s="327" customFormat="1" ht="25" customHeight="1" spans="1:11">
      <c r="A26" s="339">
        <v>16</v>
      </c>
      <c r="B26" s="340" t="s">
        <v>516</v>
      </c>
      <c r="C26" s="341" t="s">
        <v>517</v>
      </c>
      <c r="D26" s="342" t="s">
        <v>534</v>
      </c>
      <c r="E26" s="343">
        <v>14</v>
      </c>
      <c r="F26" s="343">
        <v>-14</v>
      </c>
      <c r="G26" s="343">
        <v>0</v>
      </c>
      <c r="H26" s="344"/>
      <c r="I26" s="354">
        <v>14</v>
      </c>
      <c r="J26" s="355"/>
      <c r="K26" s="356">
        <v>14</v>
      </c>
    </row>
    <row r="27" s="327" customFormat="1" ht="25" customHeight="1" spans="1:11">
      <c r="A27" s="339">
        <v>17</v>
      </c>
      <c r="B27" s="340" t="s">
        <v>516</v>
      </c>
      <c r="C27" s="341" t="s">
        <v>517</v>
      </c>
      <c r="D27" s="342" t="s">
        <v>535</v>
      </c>
      <c r="E27" s="343">
        <v>465.02</v>
      </c>
      <c r="F27" s="343">
        <v>-465.02</v>
      </c>
      <c r="G27" s="343">
        <v>0</v>
      </c>
      <c r="H27" s="344"/>
      <c r="I27" s="354">
        <v>465.02</v>
      </c>
      <c r="J27" s="355"/>
      <c r="K27" s="356"/>
    </row>
    <row r="28" s="327" customFormat="1" ht="25" customHeight="1" spans="1:11">
      <c r="A28" s="339">
        <v>18</v>
      </c>
      <c r="B28" s="340" t="s">
        <v>516</v>
      </c>
      <c r="C28" s="341" t="s">
        <v>517</v>
      </c>
      <c r="D28" s="342" t="s">
        <v>536</v>
      </c>
      <c r="E28" s="343">
        <v>1800</v>
      </c>
      <c r="F28" s="343">
        <v>-1205</v>
      </c>
      <c r="G28" s="343">
        <v>595</v>
      </c>
      <c r="H28" s="344"/>
      <c r="I28" s="354"/>
      <c r="J28" s="355"/>
      <c r="K28" s="356"/>
    </row>
    <row r="29" s="327" customFormat="1" ht="25" customHeight="1" spans="1:11">
      <c r="A29" s="339">
        <v>19</v>
      </c>
      <c r="B29" s="340" t="s">
        <v>516</v>
      </c>
      <c r="C29" s="341" t="s">
        <v>517</v>
      </c>
      <c r="D29" s="342" t="s">
        <v>537</v>
      </c>
      <c r="E29" s="343">
        <v>41</v>
      </c>
      <c r="F29" s="343">
        <v>-5.03</v>
      </c>
      <c r="G29" s="343">
        <v>35.97</v>
      </c>
      <c r="H29" s="344"/>
      <c r="I29" s="354"/>
      <c r="J29" s="355"/>
      <c r="K29" s="356"/>
    </row>
    <row r="30" s="327" customFormat="1" ht="25" customHeight="1" spans="1:11">
      <c r="A30" s="339">
        <v>20</v>
      </c>
      <c r="B30" s="340" t="s">
        <v>516</v>
      </c>
      <c r="C30" s="341" t="s">
        <v>517</v>
      </c>
      <c r="D30" s="342" t="s">
        <v>538</v>
      </c>
      <c r="E30" s="343">
        <v>169</v>
      </c>
      <c r="F30" s="343">
        <v>-169</v>
      </c>
      <c r="G30" s="343">
        <v>0</v>
      </c>
      <c r="H30" s="344"/>
      <c r="I30" s="354">
        <v>169</v>
      </c>
      <c r="J30" s="355"/>
      <c r="K30" s="356">
        <v>169</v>
      </c>
    </row>
    <row r="31" s="327" customFormat="1" ht="25" customHeight="1" spans="1:11">
      <c r="A31" s="339">
        <v>21</v>
      </c>
      <c r="B31" s="340" t="s">
        <v>516</v>
      </c>
      <c r="C31" s="341" t="s">
        <v>517</v>
      </c>
      <c r="D31" s="342" t="s">
        <v>539</v>
      </c>
      <c r="E31" s="343">
        <v>17.93</v>
      </c>
      <c r="F31" s="343">
        <v>-13.68</v>
      </c>
      <c r="G31" s="343">
        <v>4.25</v>
      </c>
      <c r="H31" s="344"/>
      <c r="I31" s="354">
        <v>0</v>
      </c>
      <c r="J31" s="355"/>
      <c r="K31" s="356"/>
    </row>
    <row r="32" s="327" customFormat="1" ht="25" customHeight="1" spans="1:11">
      <c r="A32" s="339">
        <v>22</v>
      </c>
      <c r="B32" s="340" t="s">
        <v>540</v>
      </c>
      <c r="C32" s="341" t="s">
        <v>541</v>
      </c>
      <c r="D32" s="342" t="s">
        <v>542</v>
      </c>
      <c r="E32" s="343">
        <v>20</v>
      </c>
      <c r="F32" s="343">
        <v>-20</v>
      </c>
      <c r="G32" s="343">
        <v>0</v>
      </c>
      <c r="H32" s="344"/>
      <c r="I32" s="354">
        <v>20</v>
      </c>
      <c r="J32" s="355">
        <v>470</v>
      </c>
      <c r="K32" s="356"/>
    </row>
    <row r="33" s="327" customFormat="1" ht="25" customHeight="1" spans="1:11">
      <c r="A33" s="339">
        <v>23</v>
      </c>
      <c r="B33" s="340" t="s">
        <v>540</v>
      </c>
      <c r="C33" s="341" t="s">
        <v>543</v>
      </c>
      <c r="D33" s="342" t="s">
        <v>544</v>
      </c>
      <c r="E33" s="343">
        <v>10</v>
      </c>
      <c r="F33" s="343">
        <v>-10</v>
      </c>
      <c r="G33" s="343">
        <v>0</v>
      </c>
      <c r="H33" s="344"/>
      <c r="I33" s="354">
        <v>10</v>
      </c>
      <c r="J33" s="355">
        <v>29</v>
      </c>
      <c r="K33" s="356">
        <v>10</v>
      </c>
    </row>
    <row r="34" s="327" customFormat="1" ht="25" customHeight="1" spans="1:11">
      <c r="A34" s="339">
        <v>24</v>
      </c>
      <c r="B34" s="340" t="s">
        <v>516</v>
      </c>
      <c r="C34" s="341" t="s">
        <v>543</v>
      </c>
      <c r="D34" s="342" t="s">
        <v>545</v>
      </c>
      <c r="E34" s="343">
        <v>2</v>
      </c>
      <c r="F34" s="343">
        <v>-2</v>
      </c>
      <c r="G34" s="343">
        <v>0</v>
      </c>
      <c r="H34" s="344"/>
      <c r="I34" s="354"/>
      <c r="J34" s="355">
        <v>2197</v>
      </c>
      <c r="K34" s="356"/>
    </row>
    <row r="35" s="327" customFormat="1" ht="25" customHeight="1" spans="1:11">
      <c r="A35" s="339">
        <v>25</v>
      </c>
      <c r="B35" s="340" t="s">
        <v>521</v>
      </c>
      <c r="C35" s="341" t="s">
        <v>543</v>
      </c>
      <c r="D35" s="342" t="s">
        <v>546</v>
      </c>
      <c r="E35" s="343">
        <v>9.48</v>
      </c>
      <c r="F35" s="343">
        <v>-2.25</v>
      </c>
      <c r="G35" s="343">
        <v>7.23</v>
      </c>
      <c r="H35" s="344"/>
      <c r="I35" s="354"/>
      <c r="J35" s="355">
        <v>460</v>
      </c>
      <c r="K35" s="356"/>
    </row>
    <row r="36" s="327" customFormat="1" ht="25" customHeight="1" spans="1:11">
      <c r="A36" s="339">
        <v>26</v>
      </c>
      <c r="B36" s="340" t="s">
        <v>521</v>
      </c>
      <c r="C36" s="341" t="s">
        <v>547</v>
      </c>
      <c r="D36" s="342" t="s">
        <v>546</v>
      </c>
      <c r="E36" s="343">
        <v>9.48</v>
      </c>
      <c r="F36" s="343">
        <v>-0.16</v>
      </c>
      <c r="G36" s="343">
        <v>9.32</v>
      </c>
      <c r="H36" s="344"/>
      <c r="I36" s="354"/>
      <c r="J36" s="355">
        <v>31</v>
      </c>
      <c r="K36" s="356"/>
    </row>
    <row r="37" s="327" customFormat="1" ht="25" customHeight="1" spans="1:11">
      <c r="A37" s="339">
        <v>27</v>
      </c>
      <c r="B37" s="340" t="s">
        <v>516</v>
      </c>
      <c r="C37" s="341" t="s">
        <v>547</v>
      </c>
      <c r="D37" s="342" t="s">
        <v>548</v>
      </c>
      <c r="E37" s="343">
        <v>10</v>
      </c>
      <c r="F37" s="343">
        <v>-10</v>
      </c>
      <c r="G37" s="343">
        <v>0</v>
      </c>
      <c r="H37" s="344"/>
      <c r="I37" s="354">
        <v>10</v>
      </c>
      <c r="J37" s="355">
        <v>2231</v>
      </c>
      <c r="K37" s="356"/>
    </row>
    <row r="38" s="327" customFormat="1" ht="25" customHeight="1" spans="1:11">
      <c r="A38" s="339">
        <v>28</v>
      </c>
      <c r="B38" s="340" t="s">
        <v>516</v>
      </c>
      <c r="C38" s="341" t="s">
        <v>547</v>
      </c>
      <c r="D38" s="342" t="s">
        <v>549</v>
      </c>
      <c r="E38" s="343">
        <v>20</v>
      </c>
      <c r="F38" s="343">
        <v>-15</v>
      </c>
      <c r="G38" s="343">
        <v>5</v>
      </c>
      <c r="H38" s="344"/>
      <c r="I38" s="354">
        <v>15</v>
      </c>
      <c r="J38" s="355">
        <v>3518</v>
      </c>
      <c r="K38" s="356">
        <v>15</v>
      </c>
    </row>
    <row r="39" s="327" customFormat="1" ht="25" customHeight="1" spans="1:12">
      <c r="A39" s="339">
        <v>29</v>
      </c>
      <c r="B39" s="340" t="s">
        <v>540</v>
      </c>
      <c r="C39" s="341" t="s">
        <v>541</v>
      </c>
      <c r="D39" s="342" t="s">
        <v>550</v>
      </c>
      <c r="E39" s="343">
        <v>144</v>
      </c>
      <c r="F39" s="343">
        <v>-75.621414</v>
      </c>
      <c r="G39" s="343">
        <v>68.378586</v>
      </c>
      <c r="H39" s="344"/>
      <c r="I39" s="354">
        <v>75.621414</v>
      </c>
      <c r="J39" s="355">
        <v>471</v>
      </c>
      <c r="K39" s="356"/>
      <c r="L39" s="358"/>
    </row>
    <row r="40" s="327" customFormat="1" ht="25" customHeight="1" spans="1:11">
      <c r="A40" s="339">
        <v>30</v>
      </c>
      <c r="B40" s="340" t="s">
        <v>540</v>
      </c>
      <c r="C40" s="341" t="s">
        <v>541</v>
      </c>
      <c r="D40" s="342" t="s">
        <v>551</v>
      </c>
      <c r="E40" s="343">
        <v>282.12</v>
      </c>
      <c r="F40" s="343">
        <v>-244.92</v>
      </c>
      <c r="G40" s="343">
        <v>37.2</v>
      </c>
      <c r="H40" s="344"/>
      <c r="I40" s="354">
        <v>244.92</v>
      </c>
      <c r="J40" s="355">
        <v>32</v>
      </c>
      <c r="K40" s="356"/>
    </row>
    <row r="41" s="327" customFormat="1" ht="25" customHeight="1" spans="1:11">
      <c r="A41" s="339">
        <v>31</v>
      </c>
      <c r="B41" s="340" t="s">
        <v>516</v>
      </c>
      <c r="C41" s="341" t="s">
        <v>543</v>
      </c>
      <c r="D41" s="342" t="s">
        <v>552</v>
      </c>
      <c r="E41" s="343">
        <v>3.4</v>
      </c>
      <c r="F41" s="343">
        <v>-3.4</v>
      </c>
      <c r="G41" s="343">
        <v>0</v>
      </c>
      <c r="H41" s="344"/>
      <c r="I41" s="354"/>
      <c r="J41" s="355">
        <v>2340</v>
      </c>
      <c r="K41" s="356"/>
    </row>
    <row r="42" s="327" customFormat="1" ht="25" customHeight="1" spans="1:11">
      <c r="A42" s="339">
        <v>32</v>
      </c>
      <c r="B42" s="340" t="s">
        <v>521</v>
      </c>
      <c r="C42" s="341" t="s">
        <v>543</v>
      </c>
      <c r="D42" s="342" t="s">
        <v>553</v>
      </c>
      <c r="E42" s="343">
        <v>125</v>
      </c>
      <c r="F42" s="343">
        <v>-2.33499999999999</v>
      </c>
      <c r="G42" s="343">
        <v>122.665</v>
      </c>
      <c r="H42" s="344"/>
      <c r="I42" s="354"/>
      <c r="J42" s="355">
        <v>459</v>
      </c>
      <c r="K42" s="356"/>
    </row>
    <row r="43" s="327" customFormat="1" ht="25" customHeight="1" spans="1:11">
      <c r="A43" s="339">
        <v>33</v>
      </c>
      <c r="B43" s="340" t="s">
        <v>516</v>
      </c>
      <c r="C43" s="341" t="s">
        <v>541</v>
      </c>
      <c r="D43" s="342" t="s">
        <v>554</v>
      </c>
      <c r="E43" s="343">
        <v>10</v>
      </c>
      <c r="F43" s="343">
        <v>-10</v>
      </c>
      <c r="G43" s="343">
        <v>0</v>
      </c>
      <c r="H43" s="344"/>
      <c r="I43" s="354">
        <v>10</v>
      </c>
      <c r="J43" s="355">
        <v>3178</v>
      </c>
      <c r="K43" s="356"/>
    </row>
    <row r="44" s="327" customFormat="1" ht="25" customHeight="1" spans="1:11">
      <c r="A44" s="339">
        <v>34</v>
      </c>
      <c r="B44" s="340" t="s">
        <v>516</v>
      </c>
      <c r="C44" s="341" t="s">
        <v>555</v>
      </c>
      <c r="D44" s="342" t="s">
        <v>556</v>
      </c>
      <c r="E44" s="343">
        <v>45</v>
      </c>
      <c r="F44" s="343">
        <v>-45</v>
      </c>
      <c r="G44" s="343">
        <v>0</v>
      </c>
      <c r="H44" s="344"/>
      <c r="I44" s="354">
        <v>45</v>
      </c>
      <c r="J44" s="355">
        <v>2368</v>
      </c>
      <c r="K44" s="356">
        <v>45</v>
      </c>
    </row>
    <row r="45" s="327" customFormat="1" ht="25" customHeight="1" spans="1:12">
      <c r="A45" s="339">
        <v>35</v>
      </c>
      <c r="B45" s="340" t="s">
        <v>540</v>
      </c>
      <c r="C45" s="341" t="s">
        <v>555</v>
      </c>
      <c r="D45" s="342" t="s">
        <v>557</v>
      </c>
      <c r="E45" s="343">
        <v>350</v>
      </c>
      <c r="F45" s="343">
        <v>-194.009</v>
      </c>
      <c r="G45" s="343">
        <v>155.991</v>
      </c>
      <c r="H45" s="344"/>
      <c r="I45" s="354">
        <v>194.009</v>
      </c>
      <c r="J45" s="355">
        <v>33</v>
      </c>
      <c r="K45" s="356"/>
      <c r="L45" s="358"/>
    </row>
    <row r="46" s="327" customFormat="1" ht="25" customHeight="1" spans="1:12">
      <c r="A46" s="339">
        <v>36</v>
      </c>
      <c r="B46" s="340" t="s">
        <v>540</v>
      </c>
      <c r="C46" s="341" t="s">
        <v>543</v>
      </c>
      <c r="D46" s="342" t="s">
        <v>558</v>
      </c>
      <c r="E46" s="343">
        <v>180</v>
      </c>
      <c r="F46" s="343">
        <v>-180</v>
      </c>
      <c r="G46" s="343">
        <v>0</v>
      </c>
      <c r="H46" s="344"/>
      <c r="I46" s="354">
        <v>180</v>
      </c>
      <c r="J46" s="355">
        <v>458</v>
      </c>
      <c r="K46" s="356"/>
      <c r="L46" s="358"/>
    </row>
    <row r="47" s="327" customFormat="1" ht="25" customHeight="1" spans="1:12">
      <c r="A47" s="339">
        <v>37</v>
      </c>
      <c r="B47" s="340" t="s">
        <v>540</v>
      </c>
      <c r="C47" s="341" t="s">
        <v>559</v>
      </c>
      <c r="D47" s="342" t="s">
        <v>560</v>
      </c>
      <c r="E47" s="343">
        <v>120</v>
      </c>
      <c r="F47" s="343">
        <v>-89.687327</v>
      </c>
      <c r="G47" s="343">
        <v>30.312673</v>
      </c>
      <c r="H47" s="344"/>
      <c r="I47" s="354">
        <v>89.687327</v>
      </c>
      <c r="J47" s="355">
        <v>34</v>
      </c>
      <c r="K47" s="356"/>
      <c r="L47" s="358"/>
    </row>
    <row r="48" s="327" customFormat="1" ht="25" customHeight="1" spans="1:11">
      <c r="A48" s="339">
        <v>38</v>
      </c>
      <c r="B48" s="340" t="s">
        <v>516</v>
      </c>
      <c r="C48" s="341" t="s">
        <v>543</v>
      </c>
      <c r="D48" s="342" t="s">
        <v>561</v>
      </c>
      <c r="E48" s="343">
        <v>150</v>
      </c>
      <c r="F48" s="343">
        <v>-120</v>
      </c>
      <c r="G48" s="343">
        <v>30</v>
      </c>
      <c r="H48" s="344"/>
      <c r="I48" s="354">
        <v>120</v>
      </c>
      <c r="J48" s="355">
        <v>2364</v>
      </c>
      <c r="K48" s="356"/>
    </row>
    <row r="49" s="327" customFormat="1" ht="25" customHeight="1" spans="1:11">
      <c r="A49" s="339">
        <v>39</v>
      </c>
      <c r="B49" s="340" t="s">
        <v>516</v>
      </c>
      <c r="C49" s="341" t="s">
        <v>543</v>
      </c>
      <c r="D49" s="342" t="s">
        <v>561</v>
      </c>
      <c r="E49" s="343">
        <v>60</v>
      </c>
      <c r="F49" s="343">
        <v>-60</v>
      </c>
      <c r="G49" s="343">
        <v>0</v>
      </c>
      <c r="H49" s="344"/>
      <c r="I49" s="354"/>
      <c r="J49" s="355">
        <v>3207</v>
      </c>
      <c r="K49" s="356"/>
    </row>
    <row r="50" s="327" customFormat="1" ht="25" customHeight="1" spans="1:11">
      <c r="A50" s="339">
        <v>40</v>
      </c>
      <c r="B50" s="340" t="s">
        <v>516</v>
      </c>
      <c r="C50" s="341" t="s">
        <v>559</v>
      </c>
      <c r="D50" s="342" t="s">
        <v>562</v>
      </c>
      <c r="E50" s="343">
        <v>4.75</v>
      </c>
      <c r="F50" s="343">
        <v>-2.76</v>
      </c>
      <c r="G50" s="343">
        <v>1.99</v>
      </c>
      <c r="H50" s="344"/>
      <c r="I50" s="354"/>
      <c r="J50" s="355">
        <v>2856</v>
      </c>
      <c r="K50" s="356"/>
    </row>
    <row r="51" s="327" customFormat="1" ht="25" customHeight="1" spans="1:11">
      <c r="A51" s="339">
        <v>41</v>
      </c>
      <c r="B51" s="340" t="s">
        <v>563</v>
      </c>
      <c r="C51" s="341" t="s">
        <v>564</v>
      </c>
      <c r="D51" s="342" t="s">
        <v>565</v>
      </c>
      <c r="E51" s="343">
        <v>14</v>
      </c>
      <c r="F51" s="343">
        <v>-14</v>
      </c>
      <c r="G51" s="343">
        <v>0</v>
      </c>
      <c r="H51" s="344"/>
      <c r="I51" s="354">
        <v>14</v>
      </c>
      <c r="J51" s="355">
        <v>432</v>
      </c>
      <c r="K51" s="356"/>
    </row>
    <row r="52" s="327" customFormat="1" ht="25" customHeight="1" spans="1:11">
      <c r="A52" s="339">
        <v>42</v>
      </c>
      <c r="B52" s="340" t="s">
        <v>563</v>
      </c>
      <c r="C52" s="341" t="s">
        <v>564</v>
      </c>
      <c r="D52" s="342" t="s">
        <v>566</v>
      </c>
      <c r="E52" s="343">
        <v>1</v>
      </c>
      <c r="F52" s="343">
        <v>-1</v>
      </c>
      <c r="G52" s="343">
        <v>0</v>
      </c>
      <c r="H52" s="344"/>
      <c r="I52" s="354"/>
      <c r="J52" s="355">
        <v>738</v>
      </c>
      <c r="K52" s="356"/>
    </row>
    <row r="53" s="327" customFormat="1" ht="25" customHeight="1" spans="1:12">
      <c r="A53" s="339">
        <v>43</v>
      </c>
      <c r="B53" s="340" t="s">
        <v>521</v>
      </c>
      <c r="C53" s="341" t="s">
        <v>567</v>
      </c>
      <c r="D53" s="342" t="s">
        <v>568</v>
      </c>
      <c r="E53" s="343">
        <v>4900</v>
      </c>
      <c r="F53" s="343">
        <v>-3472</v>
      </c>
      <c r="G53" s="343">
        <v>1428</v>
      </c>
      <c r="H53" s="344"/>
      <c r="I53" s="354">
        <v>3472</v>
      </c>
      <c r="J53" s="355">
        <v>1927</v>
      </c>
      <c r="K53" s="356">
        <v>1185</v>
      </c>
      <c r="L53" s="358"/>
    </row>
    <row r="54" s="327" customFormat="1" ht="25" customHeight="1" spans="1:11">
      <c r="A54" s="339">
        <v>44</v>
      </c>
      <c r="B54" s="340" t="s">
        <v>521</v>
      </c>
      <c r="C54" s="341" t="s">
        <v>567</v>
      </c>
      <c r="D54" s="342" t="s">
        <v>569</v>
      </c>
      <c r="E54" s="343">
        <v>8.64</v>
      </c>
      <c r="F54" s="343">
        <v>-2.52</v>
      </c>
      <c r="G54" s="343">
        <v>6.12</v>
      </c>
      <c r="H54" s="344"/>
      <c r="I54" s="354"/>
      <c r="J54" s="355">
        <v>2085</v>
      </c>
      <c r="K54" s="356"/>
    </row>
    <row r="55" s="327" customFormat="1" ht="25" customHeight="1" spans="1:11">
      <c r="A55" s="339">
        <v>45</v>
      </c>
      <c r="B55" s="340" t="s">
        <v>563</v>
      </c>
      <c r="C55" s="341" t="s">
        <v>570</v>
      </c>
      <c r="D55" s="342" t="s">
        <v>571</v>
      </c>
      <c r="E55" s="343">
        <v>333.82</v>
      </c>
      <c r="F55" s="343">
        <v>-166.91</v>
      </c>
      <c r="G55" s="343">
        <v>166.91</v>
      </c>
      <c r="H55" s="344"/>
      <c r="I55" s="354">
        <v>166.91</v>
      </c>
      <c r="J55" s="355">
        <v>441</v>
      </c>
      <c r="K55" s="356">
        <v>166.91</v>
      </c>
    </row>
    <row r="56" s="327" customFormat="1" ht="25" customHeight="1" spans="1:11">
      <c r="A56" s="339">
        <v>46</v>
      </c>
      <c r="B56" s="340" t="s">
        <v>572</v>
      </c>
      <c r="C56" s="341" t="s">
        <v>573</v>
      </c>
      <c r="D56" s="342" t="s">
        <v>574</v>
      </c>
      <c r="E56" s="343">
        <v>15</v>
      </c>
      <c r="F56" s="343">
        <v>-15</v>
      </c>
      <c r="G56" s="343">
        <v>0</v>
      </c>
      <c r="H56" s="344"/>
      <c r="I56" s="354"/>
      <c r="J56" s="355">
        <v>3097</v>
      </c>
      <c r="K56" s="356"/>
    </row>
    <row r="57" s="327" customFormat="1" ht="25" customHeight="1" spans="1:11">
      <c r="A57" s="339">
        <v>47</v>
      </c>
      <c r="B57" s="340" t="s">
        <v>572</v>
      </c>
      <c r="C57" s="341" t="s">
        <v>573</v>
      </c>
      <c r="D57" s="342" t="s">
        <v>575</v>
      </c>
      <c r="E57" s="343">
        <v>16.49</v>
      </c>
      <c r="F57" s="343">
        <v>-16.49</v>
      </c>
      <c r="G57" s="343">
        <v>0</v>
      </c>
      <c r="H57" s="344"/>
      <c r="I57" s="354">
        <v>16.49</v>
      </c>
      <c r="J57" s="355">
        <v>3098</v>
      </c>
      <c r="K57" s="356"/>
    </row>
    <row r="58" s="327" customFormat="1" ht="25" customHeight="1" spans="1:11">
      <c r="A58" s="339">
        <v>48</v>
      </c>
      <c r="B58" s="340" t="s">
        <v>572</v>
      </c>
      <c r="C58" s="341" t="s">
        <v>573</v>
      </c>
      <c r="D58" s="342" t="s">
        <v>576</v>
      </c>
      <c r="E58" s="343">
        <v>178.66</v>
      </c>
      <c r="F58" s="343">
        <v>-107.16</v>
      </c>
      <c r="G58" s="343">
        <v>71.5</v>
      </c>
      <c r="H58" s="344"/>
      <c r="I58" s="354"/>
      <c r="J58" s="355">
        <v>3302</v>
      </c>
      <c r="K58" s="356"/>
    </row>
    <row r="59" s="327" customFormat="1" ht="25" customHeight="1" spans="1:11">
      <c r="A59" s="339">
        <v>49</v>
      </c>
      <c r="B59" s="340" t="s">
        <v>572</v>
      </c>
      <c r="C59" s="341" t="s">
        <v>573</v>
      </c>
      <c r="D59" s="342" t="s">
        <v>577</v>
      </c>
      <c r="E59" s="343">
        <v>12</v>
      </c>
      <c r="F59" s="343">
        <v>-11</v>
      </c>
      <c r="G59" s="343">
        <v>1</v>
      </c>
      <c r="H59" s="344"/>
      <c r="I59" s="354"/>
      <c r="J59" s="355">
        <v>3304</v>
      </c>
      <c r="K59" s="356"/>
    </row>
    <row r="60" s="327" customFormat="1" ht="25" customHeight="1" spans="1:11">
      <c r="A60" s="339">
        <v>50</v>
      </c>
      <c r="B60" s="340" t="s">
        <v>572</v>
      </c>
      <c r="C60" s="341" t="s">
        <v>573</v>
      </c>
      <c r="D60" s="342" t="s">
        <v>578</v>
      </c>
      <c r="E60" s="343">
        <v>280</v>
      </c>
      <c r="F60" s="343">
        <v>-264.84</v>
      </c>
      <c r="G60" s="343">
        <v>15.16</v>
      </c>
      <c r="H60" s="344"/>
      <c r="I60" s="354"/>
      <c r="J60" s="355">
        <v>3305</v>
      </c>
      <c r="K60" s="356"/>
    </row>
    <row r="61" s="327" customFormat="1" ht="25" customHeight="1" spans="1:11">
      <c r="A61" s="339">
        <v>51</v>
      </c>
      <c r="B61" s="340" t="s">
        <v>572</v>
      </c>
      <c r="C61" s="341" t="s">
        <v>573</v>
      </c>
      <c r="D61" s="342" t="s">
        <v>579</v>
      </c>
      <c r="E61" s="343">
        <v>47.78</v>
      </c>
      <c r="F61" s="343">
        <v>-47.78</v>
      </c>
      <c r="G61" s="343">
        <v>0</v>
      </c>
      <c r="H61" s="344"/>
      <c r="I61" s="354"/>
      <c r="J61" s="355">
        <v>3306</v>
      </c>
      <c r="K61" s="356"/>
    </row>
    <row r="62" s="327" customFormat="1" ht="25" customHeight="1" spans="1:11">
      <c r="A62" s="339">
        <v>52</v>
      </c>
      <c r="B62" s="340" t="s">
        <v>572</v>
      </c>
      <c r="C62" s="341" t="s">
        <v>573</v>
      </c>
      <c r="D62" s="342" t="s">
        <v>580</v>
      </c>
      <c r="E62" s="343">
        <v>10</v>
      </c>
      <c r="F62" s="343">
        <v>-10</v>
      </c>
      <c r="G62" s="343">
        <v>0</v>
      </c>
      <c r="H62" s="344"/>
      <c r="I62" s="354"/>
      <c r="J62" s="355">
        <v>3361</v>
      </c>
      <c r="K62" s="356"/>
    </row>
    <row r="63" s="327" customFormat="1" ht="25" customHeight="1" spans="1:11">
      <c r="A63" s="339">
        <v>53</v>
      </c>
      <c r="B63" s="340" t="s">
        <v>572</v>
      </c>
      <c r="C63" s="341" t="s">
        <v>573</v>
      </c>
      <c r="D63" s="342" t="s">
        <v>581</v>
      </c>
      <c r="E63" s="343">
        <v>10</v>
      </c>
      <c r="F63" s="343">
        <v>-1.93</v>
      </c>
      <c r="G63" s="343">
        <v>8.07</v>
      </c>
      <c r="H63" s="344"/>
      <c r="I63" s="354"/>
      <c r="J63" s="355">
        <v>3564</v>
      </c>
      <c r="K63" s="356"/>
    </row>
    <row r="64" s="327" customFormat="1" ht="25" customHeight="1" spans="1:11">
      <c r="A64" s="339">
        <v>54</v>
      </c>
      <c r="B64" s="340" t="s">
        <v>572</v>
      </c>
      <c r="C64" s="341" t="s">
        <v>573</v>
      </c>
      <c r="D64" s="342" t="s">
        <v>582</v>
      </c>
      <c r="E64" s="343">
        <v>28.22</v>
      </c>
      <c r="F64" s="343">
        <v>-8.17</v>
      </c>
      <c r="G64" s="343">
        <v>20.05</v>
      </c>
      <c r="H64" s="344"/>
      <c r="I64" s="354"/>
      <c r="J64" s="355">
        <v>3565</v>
      </c>
      <c r="K64" s="356"/>
    </row>
    <row r="65" s="327" customFormat="1" ht="25" customHeight="1" spans="1:11">
      <c r="A65" s="339">
        <v>55</v>
      </c>
      <c r="B65" s="340" t="s">
        <v>572</v>
      </c>
      <c r="C65" s="341" t="s">
        <v>573</v>
      </c>
      <c r="D65" s="342" t="s">
        <v>583</v>
      </c>
      <c r="E65" s="343">
        <v>80</v>
      </c>
      <c r="F65" s="343">
        <v>-80</v>
      </c>
      <c r="G65" s="343">
        <v>0</v>
      </c>
      <c r="H65" s="344"/>
      <c r="I65" s="354"/>
      <c r="J65" s="355">
        <v>3566</v>
      </c>
      <c r="K65" s="356"/>
    </row>
    <row r="66" s="327" customFormat="1" ht="25" customHeight="1" spans="1:11">
      <c r="A66" s="339">
        <v>56</v>
      </c>
      <c r="B66" s="340" t="s">
        <v>540</v>
      </c>
      <c r="C66" s="341" t="s">
        <v>573</v>
      </c>
      <c r="D66" s="342" t="s">
        <v>584</v>
      </c>
      <c r="E66" s="343">
        <v>3.6</v>
      </c>
      <c r="F66" s="343">
        <v>-0.1</v>
      </c>
      <c r="G66" s="343">
        <v>3.5</v>
      </c>
      <c r="H66" s="344"/>
      <c r="I66" s="354">
        <v>0.1</v>
      </c>
      <c r="J66" s="355">
        <v>3093</v>
      </c>
      <c r="K66" s="356">
        <v>0.1</v>
      </c>
    </row>
    <row r="67" s="327" customFormat="1" ht="25" customHeight="1" spans="1:11">
      <c r="A67" s="339">
        <v>57</v>
      </c>
      <c r="B67" s="340" t="s">
        <v>540</v>
      </c>
      <c r="C67" s="341" t="s">
        <v>585</v>
      </c>
      <c r="D67" s="342" t="s">
        <v>586</v>
      </c>
      <c r="E67" s="343">
        <v>107.604</v>
      </c>
      <c r="F67" s="343">
        <v>-107.604</v>
      </c>
      <c r="G67" s="343">
        <v>0</v>
      </c>
      <c r="H67" s="344"/>
      <c r="I67" s="354">
        <v>107.604</v>
      </c>
      <c r="J67" s="355">
        <v>3075</v>
      </c>
      <c r="K67" s="356">
        <v>107.6</v>
      </c>
    </row>
    <row r="68" s="327" customFormat="1" ht="25" customHeight="1" spans="1:11">
      <c r="A68" s="339">
        <v>58</v>
      </c>
      <c r="B68" s="340" t="s">
        <v>540</v>
      </c>
      <c r="C68" s="341" t="s">
        <v>585</v>
      </c>
      <c r="D68" s="342" t="s">
        <v>587</v>
      </c>
      <c r="E68" s="343">
        <v>25.14</v>
      </c>
      <c r="F68" s="343">
        <v>-25.14</v>
      </c>
      <c r="G68" s="343">
        <v>0</v>
      </c>
      <c r="H68" s="344"/>
      <c r="I68" s="354">
        <v>25.14</v>
      </c>
      <c r="J68" s="355">
        <v>3090</v>
      </c>
      <c r="K68" s="356"/>
    </row>
    <row r="69" s="327" customFormat="1" ht="25" customHeight="1" spans="1:11">
      <c r="A69" s="339">
        <v>59</v>
      </c>
      <c r="B69" s="340" t="s">
        <v>563</v>
      </c>
      <c r="C69" s="341" t="s">
        <v>585</v>
      </c>
      <c r="D69" s="342" t="s">
        <v>588</v>
      </c>
      <c r="E69" s="343">
        <v>163.69</v>
      </c>
      <c r="F69" s="343">
        <v>-163.69</v>
      </c>
      <c r="G69" s="343">
        <v>0</v>
      </c>
      <c r="H69" s="344"/>
      <c r="I69" s="354">
        <v>163.69</v>
      </c>
      <c r="J69" s="355">
        <v>733</v>
      </c>
      <c r="K69" s="356">
        <v>163.69</v>
      </c>
    </row>
    <row r="70" s="327" customFormat="1" ht="25" customHeight="1" spans="1:11">
      <c r="A70" s="339">
        <v>60</v>
      </c>
      <c r="B70" s="340" t="s">
        <v>563</v>
      </c>
      <c r="C70" s="341" t="s">
        <v>585</v>
      </c>
      <c r="D70" s="342" t="s">
        <v>589</v>
      </c>
      <c r="E70" s="343">
        <v>24</v>
      </c>
      <c r="F70" s="343">
        <v>-24</v>
      </c>
      <c r="G70" s="343">
        <v>0</v>
      </c>
      <c r="H70" s="344"/>
      <c r="I70" s="354"/>
      <c r="J70" s="355">
        <v>790</v>
      </c>
      <c r="K70" s="356"/>
    </row>
    <row r="71" s="327" customFormat="1" ht="25" customHeight="1" spans="1:11">
      <c r="A71" s="339">
        <v>61</v>
      </c>
      <c r="B71" s="340" t="s">
        <v>563</v>
      </c>
      <c r="C71" s="341" t="s">
        <v>585</v>
      </c>
      <c r="D71" s="342" t="s">
        <v>590</v>
      </c>
      <c r="E71" s="343">
        <v>1.6</v>
      </c>
      <c r="F71" s="343">
        <v>-1.6</v>
      </c>
      <c r="G71" s="343">
        <v>0</v>
      </c>
      <c r="H71" s="344"/>
      <c r="I71" s="354"/>
      <c r="J71" s="355">
        <v>2581</v>
      </c>
      <c r="K71" s="356"/>
    </row>
    <row r="72" s="327" customFormat="1" ht="25" customHeight="1" spans="1:11">
      <c r="A72" s="339">
        <v>62</v>
      </c>
      <c r="B72" s="340" t="s">
        <v>563</v>
      </c>
      <c r="C72" s="341" t="s">
        <v>585</v>
      </c>
      <c r="D72" s="342" t="s">
        <v>591</v>
      </c>
      <c r="E72" s="343">
        <v>35.08</v>
      </c>
      <c r="F72" s="343">
        <v>-12.12</v>
      </c>
      <c r="G72" s="343">
        <v>22.96</v>
      </c>
      <c r="H72" s="344"/>
      <c r="I72" s="354"/>
      <c r="J72" s="355">
        <v>743</v>
      </c>
      <c r="K72" s="356"/>
    </row>
    <row r="73" s="327" customFormat="1" ht="25" customHeight="1" spans="1:11">
      <c r="A73" s="339">
        <v>63</v>
      </c>
      <c r="B73" s="340" t="s">
        <v>563</v>
      </c>
      <c r="C73" s="341" t="s">
        <v>592</v>
      </c>
      <c r="D73" s="342" t="s">
        <v>593</v>
      </c>
      <c r="E73" s="343">
        <v>40</v>
      </c>
      <c r="F73" s="343">
        <v>-15</v>
      </c>
      <c r="G73" s="343">
        <v>25</v>
      </c>
      <c r="H73" s="344"/>
      <c r="I73" s="354">
        <v>15</v>
      </c>
      <c r="J73" s="355">
        <v>52</v>
      </c>
      <c r="K73" s="356">
        <v>10</v>
      </c>
    </row>
    <row r="74" s="327" customFormat="1" ht="25" customHeight="1" spans="1:11">
      <c r="A74" s="339">
        <v>64</v>
      </c>
      <c r="B74" s="340" t="s">
        <v>563</v>
      </c>
      <c r="C74" s="341" t="s">
        <v>592</v>
      </c>
      <c r="D74" s="342" t="s">
        <v>594</v>
      </c>
      <c r="E74" s="343">
        <v>5</v>
      </c>
      <c r="F74" s="343">
        <v>-1.329</v>
      </c>
      <c r="G74" s="343">
        <v>3.671</v>
      </c>
      <c r="H74" s="344"/>
      <c r="I74" s="354"/>
      <c r="J74" s="355">
        <v>57</v>
      </c>
      <c r="K74" s="356"/>
    </row>
    <row r="75" s="327" customFormat="1" ht="25" customHeight="1" spans="1:11">
      <c r="A75" s="339">
        <v>65</v>
      </c>
      <c r="B75" s="340" t="s">
        <v>563</v>
      </c>
      <c r="C75" s="341" t="s">
        <v>592</v>
      </c>
      <c r="D75" s="342" t="s">
        <v>595</v>
      </c>
      <c r="E75" s="343">
        <v>15</v>
      </c>
      <c r="F75" s="343">
        <v>-6.53</v>
      </c>
      <c r="G75" s="343">
        <v>8.47</v>
      </c>
      <c r="H75" s="344"/>
      <c r="I75" s="354"/>
      <c r="J75" s="355">
        <v>61</v>
      </c>
      <c r="K75" s="356"/>
    </row>
    <row r="76" s="327" customFormat="1" ht="25" customHeight="1" spans="1:11">
      <c r="A76" s="339">
        <v>66</v>
      </c>
      <c r="B76" s="340" t="s">
        <v>563</v>
      </c>
      <c r="C76" s="341" t="s">
        <v>592</v>
      </c>
      <c r="D76" s="342" t="s">
        <v>596</v>
      </c>
      <c r="E76" s="343">
        <v>4</v>
      </c>
      <c r="F76" s="343">
        <v>-2.8</v>
      </c>
      <c r="G76" s="343">
        <v>1.2</v>
      </c>
      <c r="H76" s="344"/>
      <c r="I76" s="354"/>
      <c r="J76" s="355">
        <v>62</v>
      </c>
      <c r="K76" s="356"/>
    </row>
    <row r="77" s="327" customFormat="1" ht="25" customHeight="1" spans="1:11">
      <c r="A77" s="339">
        <v>67</v>
      </c>
      <c r="B77" s="340" t="s">
        <v>563</v>
      </c>
      <c r="C77" s="341" t="s">
        <v>592</v>
      </c>
      <c r="D77" s="342" t="s">
        <v>597</v>
      </c>
      <c r="E77" s="343">
        <v>30</v>
      </c>
      <c r="F77" s="343">
        <v>-19</v>
      </c>
      <c r="G77" s="343">
        <v>11</v>
      </c>
      <c r="H77" s="344"/>
      <c r="I77" s="354">
        <v>19</v>
      </c>
      <c r="J77" s="355">
        <v>777</v>
      </c>
      <c r="K77" s="356">
        <v>10</v>
      </c>
    </row>
    <row r="78" s="327" customFormat="1" ht="25" customHeight="1" spans="1:11">
      <c r="A78" s="339">
        <v>68</v>
      </c>
      <c r="B78" s="340" t="s">
        <v>598</v>
      </c>
      <c r="C78" s="341" t="s">
        <v>592</v>
      </c>
      <c r="D78" s="342" t="s">
        <v>599</v>
      </c>
      <c r="E78" s="343">
        <v>25</v>
      </c>
      <c r="F78" s="343">
        <v>-25</v>
      </c>
      <c r="G78" s="343">
        <v>0</v>
      </c>
      <c r="H78" s="344"/>
      <c r="I78" s="354">
        <v>25</v>
      </c>
      <c r="J78" s="355">
        <v>702</v>
      </c>
      <c r="K78" s="356">
        <v>25</v>
      </c>
    </row>
    <row r="79" s="327" customFormat="1" ht="25" customHeight="1" spans="1:11">
      <c r="A79" s="339">
        <v>69</v>
      </c>
      <c r="B79" s="340" t="s">
        <v>563</v>
      </c>
      <c r="C79" s="341" t="s">
        <v>600</v>
      </c>
      <c r="D79" s="342" t="s">
        <v>601</v>
      </c>
      <c r="E79" s="343">
        <v>68.18</v>
      </c>
      <c r="F79" s="343">
        <v>-24.043587</v>
      </c>
      <c r="G79" s="343">
        <v>44.136413</v>
      </c>
      <c r="H79" s="344"/>
      <c r="I79" s="354"/>
      <c r="J79" s="355">
        <v>719</v>
      </c>
      <c r="K79" s="356"/>
    </row>
    <row r="80" s="327" customFormat="1" ht="25" customHeight="1" spans="1:11">
      <c r="A80" s="339">
        <v>70</v>
      </c>
      <c r="B80" s="340" t="s">
        <v>563</v>
      </c>
      <c r="C80" s="341" t="s">
        <v>600</v>
      </c>
      <c r="D80" s="342" t="s">
        <v>602</v>
      </c>
      <c r="E80" s="343">
        <v>15</v>
      </c>
      <c r="F80" s="343">
        <v>-5.9528</v>
      </c>
      <c r="G80" s="343">
        <v>9.0472</v>
      </c>
      <c r="H80" s="344"/>
      <c r="I80" s="354"/>
      <c r="J80" s="355">
        <v>720</v>
      </c>
      <c r="K80" s="356"/>
    </row>
    <row r="81" s="327" customFormat="1" ht="25" customHeight="1" spans="1:11">
      <c r="A81" s="339">
        <v>71</v>
      </c>
      <c r="B81" s="340" t="s">
        <v>563</v>
      </c>
      <c r="C81" s="341" t="s">
        <v>600</v>
      </c>
      <c r="D81" s="342" t="s">
        <v>603</v>
      </c>
      <c r="E81" s="343">
        <v>10</v>
      </c>
      <c r="F81" s="343">
        <v>-3.0706</v>
      </c>
      <c r="G81" s="343">
        <v>6.9294</v>
      </c>
      <c r="H81" s="344"/>
      <c r="I81" s="354"/>
      <c r="J81" s="355">
        <v>721</v>
      </c>
      <c r="K81" s="356"/>
    </row>
    <row r="82" s="327" customFormat="1" ht="25" customHeight="1" spans="1:11">
      <c r="A82" s="339">
        <v>72</v>
      </c>
      <c r="B82" s="340" t="s">
        <v>563</v>
      </c>
      <c r="C82" s="341" t="s">
        <v>600</v>
      </c>
      <c r="D82" s="342" t="s">
        <v>604</v>
      </c>
      <c r="E82" s="343">
        <v>25</v>
      </c>
      <c r="F82" s="343">
        <v>-8.480599</v>
      </c>
      <c r="G82" s="343">
        <v>16.519401</v>
      </c>
      <c r="H82" s="344"/>
      <c r="I82" s="354"/>
      <c r="J82" s="355">
        <v>723</v>
      </c>
      <c r="K82" s="356"/>
    </row>
    <row r="83" s="327" customFormat="1" ht="25" customHeight="1" spans="1:11">
      <c r="A83" s="339">
        <v>73</v>
      </c>
      <c r="B83" s="340" t="s">
        <v>563</v>
      </c>
      <c r="C83" s="341" t="s">
        <v>600</v>
      </c>
      <c r="D83" s="342" t="s">
        <v>605</v>
      </c>
      <c r="E83" s="343">
        <v>21.3</v>
      </c>
      <c r="F83" s="343">
        <v>-13.164</v>
      </c>
      <c r="G83" s="343">
        <v>8.136</v>
      </c>
      <c r="H83" s="344"/>
      <c r="I83" s="354"/>
      <c r="J83" s="355">
        <v>724</v>
      </c>
      <c r="K83" s="356"/>
    </row>
    <row r="84" s="327" customFormat="1" ht="25" customHeight="1" spans="1:11">
      <c r="A84" s="339">
        <v>74</v>
      </c>
      <c r="B84" s="340" t="s">
        <v>563</v>
      </c>
      <c r="C84" s="341" t="s">
        <v>600</v>
      </c>
      <c r="D84" s="342" t="s">
        <v>606</v>
      </c>
      <c r="E84" s="343">
        <v>11.85</v>
      </c>
      <c r="F84" s="343">
        <v>-11.85</v>
      </c>
      <c r="G84" s="343">
        <v>0</v>
      </c>
      <c r="H84" s="344"/>
      <c r="I84" s="354">
        <v>11.85</v>
      </c>
      <c r="J84" s="355">
        <v>726</v>
      </c>
      <c r="K84" s="356">
        <v>11.85</v>
      </c>
    </row>
    <row r="85" s="327" customFormat="1" ht="25" customHeight="1" spans="1:11">
      <c r="A85" s="339">
        <v>75</v>
      </c>
      <c r="B85" s="340" t="s">
        <v>563</v>
      </c>
      <c r="C85" s="341" t="s">
        <v>600</v>
      </c>
      <c r="D85" s="342" t="s">
        <v>607</v>
      </c>
      <c r="E85" s="343">
        <v>6.1</v>
      </c>
      <c r="F85" s="343">
        <v>-3.5208</v>
      </c>
      <c r="G85" s="343">
        <v>2.5792</v>
      </c>
      <c r="H85" s="344"/>
      <c r="I85" s="354"/>
      <c r="J85" s="355">
        <v>728</v>
      </c>
      <c r="K85" s="356"/>
    </row>
    <row r="86" s="327" customFormat="1" ht="25" customHeight="1" spans="1:11">
      <c r="A86" s="339">
        <v>76</v>
      </c>
      <c r="B86" s="340" t="s">
        <v>563</v>
      </c>
      <c r="C86" s="341" t="s">
        <v>600</v>
      </c>
      <c r="D86" s="342" t="s">
        <v>608</v>
      </c>
      <c r="E86" s="343">
        <v>20</v>
      </c>
      <c r="F86" s="343">
        <v>-7.836</v>
      </c>
      <c r="G86" s="343">
        <v>12.164</v>
      </c>
      <c r="H86" s="344"/>
      <c r="I86" s="354"/>
      <c r="J86" s="355">
        <v>729</v>
      </c>
      <c r="K86" s="356"/>
    </row>
    <row r="87" s="327" customFormat="1" ht="25" customHeight="1" spans="1:11">
      <c r="A87" s="339">
        <v>77</v>
      </c>
      <c r="B87" s="340" t="s">
        <v>563</v>
      </c>
      <c r="C87" s="341" t="s">
        <v>600</v>
      </c>
      <c r="D87" s="342" t="s">
        <v>609</v>
      </c>
      <c r="E87" s="343">
        <v>84</v>
      </c>
      <c r="F87" s="343">
        <v>-16</v>
      </c>
      <c r="G87" s="343">
        <v>68</v>
      </c>
      <c r="H87" s="344"/>
      <c r="I87" s="354"/>
      <c r="J87" s="355">
        <v>730</v>
      </c>
      <c r="K87" s="356"/>
    </row>
    <row r="88" s="327" customFormat="1" ht="25" customHeight="1" spans="1:11">
      <c r="A88" s="339">
        <v>78</v>
      </c>
      <c r="B88" s="340" t="s">
        <v>563</v>
      </c>
      <c r="C88" s="341" t="s">
        <v>600</v>
      </c>
      <c r="D88" s="342" t="s">
        <v>610</v>
      </c>
      <c r="E88" s="343">
        <v>8</v>
      </c>
      <c r="F88" s="343">
        <v>-8</v>
      </c>
      <c r="G88" s="343">
        <v>0</v>
      </c>
      <c r="H88" s="344"/>
      <c r="I88" s="354"/>
      <c r="J88" s="355">
        <v>737</v>
      </c>
      <c r="K88" s="356"/>
    </row>
    <row r="89" s="327" customFormat="1" ht="25" customHeight="1" spans="1:11">
      <c r="A89" s="339">
        <v>79</v>
      </c>
      <c r="B89" s="340" t="s">
        <v>611</v>
      </c>
      <c r="C89" s="341" t="s">
        <v>612</v>
      </c>
      <c r="D89" s="342" t="s">
        <v>613</v>
      </c>
      <c r="E89" s="343">
        <v>80</v>
      </c>
      <c r="F89" s="343">
        <v>-53.234928</v>
      </c>
      <c r="G89" s="343">
        <v>26.765072</v>
      </c>
      <c r="H89" s="344"/>
      <c r="I89" s="354">
        <v>0</v>
      </c>
      <c r="J89" s="355">
        <v>88</v>
      </c>
      <c r="K89" s="356"/>
    </row>
    <row r="90" s="327" customFormat="1" ht="25" customHeight="1" spans="1:11">
      <c r="A90" s="339">
        <v>80</v>
      </c>
      <c r="B90" s="340" t="s">
        <v>611</v>
      </c>
      <c r="C90" s="341" t="s">
        <v>612</v>
      </c>
      <c r="D90" s="342" t="s">
        <v>614</v>
      </c>
      <c r="E90" s="343">
        <v>23.83</v>
      </c>
      <c r="F90" s="343">
        <v>-1.085182</v>
      </c>
      <c r="G90" s="343">
        <v>22.744818</v>
      </c>
      <c r="H90" s="344"/>
      <c r="I90" s="354"/>
      <c r="J90" s="355">
        <v>91</v>
      </c>
      <c r="K90" s="356"/>
    </row>
    <row r="91" s="327" customFormat="1" ht="25" customHeight="1" spans="1:11">
      <c r="A91" s="339">
        <v>81</v>
      </c>
      <c r="B91" s="340" t="s">
        <v>611</v>
      </c>
      <c r="C91" s="341" t="s">
        <v>612</v>
      </c>
      <c r="D91" s="342" t="s">
        <v>615</v>
      </c>
      <c r="E91" s="343">
        <v>28</v>
      </c>
      <c r="F91" s="343">
        <v>-28</v>
      </c>
      <c r="G91" s="343">
        <v>0</v>
      </c>
      <c r="H91" s="344"/>
      <c r="I91" s="354"/>
      <c r="J91" s="355">
        <v>92</v>
      </c>
      <c r="K91" s="356"/>
    </row>
    <row r="92" s="327" customFormat="1" ht="25" customHeight="1" spans="1:11">
      <c r="A92" s="339">
        <v>82</v>
      </c>
      <c r="B92" s="340" t="s">
        <v>563</v>
      </c>
      <c r="C92" s="341" t="s">
        <v>612</v>
      </c>
      <c r="D92" s="342" t="s">
        <v>616</v>
      </c>
      <c r="E92" s="343">
        <v>15</v>
      </c>
      <c r="F92" s="343">
        <v>-8.591</v>
      </c>
      <c r="G92" s="343">
        <v>6.409</v>
      </c>
      <c r="H92" s="344"/>
      <c r="I92" s="354">
        <v>5</v>
      </c>
      <c r="J92" s="355">
        <v>94</v>
      </c>
      <c r="K92" s="356"/>
    </row>
    <row r="93" s="327" customFormat="1" ht="25" customHeight="1" spans="1:11">
      <c r="A93" s="339">
        <v>83</v>
      </c>
      <c r="B93" s="340" t="s">
        <v>563</v>
      </c>
      <c r="C93" s="341" t="s">
        <v>612</v>
      </c>
      <c r="D93" s="342" t="s">
        <v>617</v>
      </c>
      <c r="E93" s="343">
        <v>1</v>
      </c>
      <c r="F93" s="343">
        <v>-1</v>
      </c>
      <c r="G93" s="343">
        <v>0</v>
      </c>
      <c r="H93" s="344"/>
      <c r="I93" s="354"/>
      <c r="J93" s="355">
        <v>95</v>
      </c>
      <c r="K93" s="356"/>
    </row>
    <row r="94" s="327" customFormat="1" ht="25" customHeight="1" spans="1:11">
      <c r="A94" s="339">
        <v>84</v>
      </c>
      <c r="B94" s="340" t="s">
        <v>563</v>
      </c>
      <c r="C94" s="341" t="s">
        <v>612</v>
      </c>
      <c r="D94" s="342" t="s">
        <v>618</v>
      </c>
      <c r="E94" s="343">
        <v>2</v>
      </c>
      <c r="F94" s="343">
        <v>-0.85</v>
      </c>
      <c r="G94" s="343">
        <v>1.15</v>
      </c>
      <c r="H94" s="344"/>
      <c r="I94" s="354"/>
      <c r="J94" s="355">
        <v>96</v>
      </c>
      <c r="K94" s="356"/>
    </row>
    <row r="95" s="327" customFormat="1" ht="25" customHeight="1" spans="1:11">
      <c r="A95" s="339">
        <v>85</v>
      </c>
      <c r="B95" s="340" t="s">
        <v>563</v>
      </c>
      <c r="C95" s="341" t="s">
        <v>612</v>
      </c>
      <c r="D95" s="342" t="s">
        <v>619</v>
      </c>
      <c r="E95" s="343">
        <v>21</v>
      </c>
      <c r="F95" s="343">
        <v>-11</v>
      </c>
      <c r="G95" s="343">
        <v>10</v>
      </c>
      <c r="H95" s="344"/>
      <c r="I95" s="354">
        <v>11</v>
      </c>
      <c r="J95" s="355">
        <v>97</v>
      </c>
      <c r="K95" s="356">
        <v>11</v>
      </c>
    </row>
    <row r="96" s="327" customFormat="1" ht="25" customHeight="1" spans="1:11">
      <c r="A96" s="339">
        <v>86</v>
      </c>
      <c r="B96" s="340" t="s">
        <v>563</v>
      </c>
      <c r="C96" s="341" t="s">
        <v>612</v>
      </c>
      <c r="D96" s="342" t="s">
        <v>620</v>
      </c>
      <c r="E96" s="343">
        <v>6.3</v>
      </c>
      <c r="F96" s="343">
        <v>-3.7602</v>
      </c>
      <c r="G96" s="343">
        <v>2.5398</v>
      </c>
      <c r="H96" s="344"/>
      <c r="I96" s="354">
        <v>3.3</v>
      </c>
      <c r="J96" s="355">
        <v>98</v>
      </c>
      <c r="K96" s="356"/>
    </row>
    <row r="97" s="327" customFormat="1" ht="25" customHeight="1" spans="1:11">
      <c r="A97" s="339">
        <v>87</v>
      </c>
      <c r="B97" s="340" t="s">
        <v>563</v>
      </c>
      <c r="C97" s="341" t="s">
        <v>612</v>
      </c>
      <c r="D97" s="342" t="s">
        <v>621</v>
      </c>
      <c r="E97" s="343">
        <v>9</v>
      </c>
      <c r="F97" s="343">
        <v>-9</v>
      </c>
      <c r="G97" s="343">
        <v>0</v>
      </c>
      <c r="H97" s="344"/>
      <c r="I97" s="354">
        <v>9</v>
      </c>
      <c r="J97" s="355">
        <v>99</v>
      </c>
      <c r="K97" s="356">
        <v>9</v>
      </c>
    </row>
    <row r="98" s="327" customFormat="1" ht="25" customHeight="1" spans="1:11">
      <c r="A98" s="339">
        <v>88</v>
      </c>
      <c r="B98" s="340" t="s">
        <v>563</v>
      </c>
      <c r="C98" s="341" t="s">
        <v>612</v>
      </c>
      <c r="D98" s="342" t="s">
        <v>622</v>
      </c>
      <c r="E98" s="343">
        <v>25</v>
      </c>
      <c r="F98" s="343">
        <v>-25</v>
      </c>
      <c r="G98" s="343">
        <v>0</v>
      </c>
      <c r="H98" s="344"/>
      <c r="I98" s="354">
        <v>25</v>
      </c>
      <c r="J98" s="355">
        <v>101</v>
      </c>
      <c r="K98" s="356"/>
    </row>
    <row r="99" s="327" customFormat="1" ht="25" customHeight="1" spans="1:11">
      <c r="A99" s="339">
        <v>89</v>
      </c>
      <c r="B99" s="340" t="s">
        <v>563</v>
      </c>
      <c r="C99" s="341" t="s">
        <v>612</v>
      </c>
      <c r="D99" s="342" t="s">
        <v>623</v>
      </c>
      <c r="E99" s="343">
        <v>30</v>
      </c>
      <c r="F99" s="343">
        <v>-20</v>
      </c>
      <c r="G99" s="343">
        <v>10</v>
      </c>
      <c r="H99" s="344"/>
      <c r="I99" s="354">
        <v>20</v>
      </c>
      <c r="J99" s="355">
        <v>102</v>
      </c>
      <c r="K99" s="356">
        <v>20</v>
      </c>
    </row>
    <row r="100" s="327" customFormat="1" ht="25" customHeight="1" spans="1:11">
      <c r="A100" s="339">
        <v>90</v>
      </c>
      <c r="B100" s="340" t="s">
        <v>563</v>
      </c>
      <c r="C100" s="341" t="s">
        <v>612</v>
      </c>
      <c r="D100" s="342" t="s">
        <v>624</v>
      </c>
      <c r="E100" s="343">
        <v>16</v>
      </c>
      <c r="F100" s="343">
        <v>-11.12095</v>
      </c>
      <c r="G100" s="343">
        <v>4.87905</v>
      </c>
      <c r="H100" s="344"/>
      <c r="I100" s="354">
        <v>8</v>
      </c>
      <c r="J100" s="355">
        <v>103</v>
      </c>
      <c r="K100" s="356"/>
    </row>
    <row r="101" s="327" customFormat="1" ht="25" customHeight="1" spans="1:11">
      <c r="A101" s="339">
        <v>91</v>
      </c>
      <c r="B101" s="340" t="s">
        <v>563</v>
      </c>
      <c r="C101" s="341" t="s">
        <v>612</v>
      </c>
      <c r="D101" s="342" t="s">
        <v>625</v>
      </c>
      <c r="E101" s="343">
        <v>50</v>
      </c>
      <c r="F101" s="343">
        <v>-50</v>
      </c>
      <c r="G101" s="343">
        <v>0</v>
      </c>
      <c r="H101" s="344"/>
      <c r="I101" s="354">
        <v>50</v>
      </c>
      <c r="J101" s="355">
        <v>104</v>
      </c>
      <c r="K101" s="356"/>
    </row>
    <row r="102" s="327" customFormat="1" ht="25" customHeight="1" spans="1:11">
      <c r="A102" s="339">
        <v>92</v>
      </c>
      <c r="B102" s="340" t="s">
        <v>563</v>
      </c>
      <c r="C102" s="341" t="s">
        <v>612</v>
      </c>
      <c r="D102" s="342" t="s">
        <v>626</v>
      </c>
      <c r="E102" s="343">
        <v>450</v>
      </c>
      <c r="F102" s="343">
        <v>-126.25639</v>
      </c>
      <c r="G102" s="343">
        <v>323.74361</v>
      </c>
      <c r="H102" s="344"/>
      <c r="I102" s="354">
        <v>125</v>
      </c>
      <c r="J102" s="355">
        <v>105</v>
      </c>
      <c r="K102" s="356">
        <v>100</v>
      </c>
    </row>
    <row r="103" s="327" customFormat="1" ht="25" customHeight="1" spans="1:11">
      <c r="A103" s="339">
        <v>93</v>
      </c>
      <c r="B103" s="340" t="s">
        <v>563</v>
      </c>
      <c r="C103" s="341" t="s">
        <v>612</v>
      </c>
      <c r="D103" s="342" t="s">
        <v>627</v>
      </c>
      <c r="E103" s="343">
        <v>10</v>
      </c>
      <c r="F103" s="343">
        <v>-10</v>
      </c>
      <c r="G103" s="343">
        <v>0</v>
      </c>
      <c r="H103" s="344"/>
      <c r="I103" s="354"/>
      <c r="J103" s="355">
        <v>106</v>
      </c>
      <c r="K103" s="356"/>
    </row>
    <row r="104" s="327" customFormat="1" ht="25" customHeight="1" spans="1:11">
      <c r="A104" s="339">
        <v>94</v>
      </c>
      <c r="B104" s="340" t="s">
        <v>563</v>
      </c>
      <c r="C104" s="341" t="s">
        <v>612</v>
      </c>
      <c r="D104" s="342" t="s">
        <v>628</v>
      </c>
      <c r="E104" s="343">
        <v>36.6</v>
      </c>
      <c r="F104" s="343">
        <v>-36.6</v>
      </c>
      <c r="G104" s="343">
        <v>0</v>
      </c>
      <c r="H104" s="344"/>
      <c r="I104" s="354">
        <v>36.6</v>
      </c>
      <c r="J104" s="355">
        <v>107</v>
      </c>
      <c r="K104" s="356"/>
    </row>
    <row r="105" s="327" customFormat="1" ht="25" customHeight="1" spans="1:11">
      <c r="A105" s="339">
        <v>95</v>
      </c>
      <c r="B105" s="340" t="s">
        <v>563</v>
      </c>
      <c r="C105" s="341" t="s">
        <v>612</v>
      </c>
      <c r="D105" s="342" t="s">
        <v>629</v>
      </c>
      <c r="E105" s="343">
        <v>5</v>
      </c>
      <c r="F105" s="343">
        <v>-5</v>
      </c>
      <c r="G105" s="343">
        <v>0</v>
      </c>
      <c r="H105" s="344"/>
      <c r="I105" s="354"/>
      <c r="J105" s="355">
        <v>109</v>
      </c>
      <c r="K105" s="356"/>
    </row>
    <row r="106" s="327" customFormat="1" ht="25" customHeight="1" spans="1:11">
      <c r="A106" s="339">
        <v>96</v>
      </c>
      <c r="B106" s="340" t="s">
        <v>563</v>
      </c>
      <c r="C106" s="341" t="s">
        <v>612</v>
      </c>
      <c r="D106" s="342" t="s">
        <v>630</v>
      </c>
      <c r="E106" s="343">
        <v>40</v>
      </c>
      <c r="F106" s="343">
        <v>-40</v>
      </c>
      <c r="G106" s="343">
        <v>0</v>
      </c>
      <c r="H106" s="344"/>
      <c r="I106" s="354">
        <v>40</v>
      </c>
      <c r="J106" s="355">
        <v>110</v>
      </c>
      <c r="K106" s="356"/>
    </row>
    <row r="107" s="327" customFormat="1" ht="25" customHeight="1" spans="1:11">
      <c r="A107" s="339">
        <v>97</v>
      </c>
      <c r="B107" s="340" t="s">
        <v>563</v>
      </c>
      <c r="C107" s="341" t="s">
        <v>612</v>
      </c>
      <c r="D107" s="342" t="s">
        <v>631</v>
      </c>
      <c r="E107" s="343">
        <v>7</v>
      </c>
      <c r="F107" s="343">
        <v>-7</v>
      </c>
      <c r="G107" s="343">
        <v>0</v>
      </c>
      <c r="H107" s="344"/>
      <c r="I107" s="354">
        <v>7</v>
      </c>
      <c r="J107" s="355">
        <v>111</v>
      </c>
      <c r="K107" s="356"/>
    </row>
    <row r="108" s="327" customFormat="1" ht="25" customHeight="1" spans="1:11">
      <c r="A108" s="339">
        <v>98</v>
      </c>
      <c r="B108" s="340" t="s">
        <v>563</v>
      </c>
      <c r="C108" s="341" t="s">
        <v>612</v>
      </c>
      <c r="D108" s="342" t="s">
        <v>632</v>
      </c>
      <c r="E108" s="343">
        <v>6</v>
      </c>
      <c r="F108" s="343">
        <v>-6</v>
      </c>
      <c r="G108" s="343">
        <v>0</v>
      </c>
      <c r="H108" s="344"/>
      <c r="I108" s="354">
        <v>6</v>
      </c>
      <c r="J108" s="355">
        <v>112</v>
      </c>
      <c r="K108" s="356"/>
    </row>
    <row r="109" s="327" customFormat="1" ht="25" customHeight="1" spans="1:11">
      <c r="A109" s="339">
        <v>99</v>
      </c>
      <c r="B109" s="340" t="s">
        <v>563</v>
      </c>
      <c r="C109" s="341" t="s">
        <v>612</v>
      </c>
      <c r="D109" s="342" t="s">
        <v>633</v>
      </c>
      <c r="E109" s="343">
        <v>8</v>
      </c>
      <c r="F109" s="343">
        <v>-8</v>
      </c>
      <c r="G109" s="343">
        <v>0</v>
      </c>
      <c r="H109" s="344"/>
      <c r="I109" s="354">
        <v>8</v>
      </c>
      <c r="J109" s="355">
        <v>113</v>
      </c>
      <c r="K109" s="356"/>
    </row>
    <row r="110" s="327" customFormat="1" ht="25" customHeight="1" spans="1:11">
      <c r="A110" s="339">
        <v>100</v>
      </c>
      <c r="B110" s="340" t="s">
        <v>563</v>
      </c>
      <c r="C110" s="341" t="s">
        <v>612</v>
      </c>
      <c r="D110" s="342" t="s">
        <v>634</v>
      </c>
      <c r="E110" s="343">
        <v>10</v>
      </c>
      <c r="F110" s="343">
        <v>-10</v>
      </c>
      <c r="G110" s="343">
        <v>0</v>
      </c>
      <c r="H110" s="344"/>
      <c r="I110" s="354"/>
      <c r="J110" s="355">
        <v>114</v>
      </c>
      <c r="K110" s="356"/>
    </row>
    <row r="111" s="327" customFormat="1" ht="25" customHeight="1" spans="1:11">
      <c r="A111" s="339">
        <v>101</v>
      </c>
      <c r="B111" s="340" t="s">
        <v>563</v>
      </c>
      <c r="C111" s="341" t="s">
        <v>612</v>
      </c>
      <c r="D111" s="342" t="s">
        <v>635</v>
      </c>
      <c r="E111" s="343">
        <v>67.83</v>
      </c>
      <c r="F111" s="343">
        <v>-44.283</v>
      </c>
      <c r="G111" s="343">
        <v>23.547</v>
      </c>
      <c r="H111" s="344"/>
      <c r="I111" s="354">
        <v>44.28</v>
      </c>
      <c r="J111" s="355">
        <v>116</v>
      </c>
      <c r="K111" s="356">
        <v>44.28</v>
      </c>
    </row>
    <row r="112" s="327" customFormat="1" ht="25" customHeight="1" spans="1:11">
      <c r="A112" s="339">
        <v>102</v>
      </c>
      <c r="B112" s="340" t="s">
        <v>563</v>
      </c>
      <c r="C112" s="341" t="s">
        <v>612</v>
      </c>
      <c r="D112" s="342" t="s">
        <v>636</v>
      </c>
      <c r="E112" s="343">
        <v>110.74</v>
      </c>
      <c r="F112" s="343">
        <v>-22.71488</v>
      </c>
      <c r="G112" s="343">
        <v>88.02512</v>
      </c>
      <c r="H112" s="344"/>
      <c r="I112" s="354"/>
      <c r="J112" s="355">
        <v>117</v>
      </c>
      <c r="K112" s="356"/>
    </row>
    <row r="113" s="327" customFormat="1" ht="25" customHeight="1" spans="1:11">
      <c r="A113" s="339">
        <v>103</v>
      </c>
      <c r="B113" s="340" t="s">
        <v>563</v>
      </c>
      <c r="C113" s="341" t="s">
        <v>612</v>
      </c>
      <c r="D113" s="342" t="s">
        <v>637</v>
      </c>
      <c r="E113" s="343">
        <v>115.6</v>
      </c>
      <c r="F113" s="343">
        <v>-108.6615</v>
      </c>
      <c r="G113" s="343">
        <v>6.9385</v>
      </c>
      <c r="H113" s="344"/>
      <c r="I113" s="354">
        <v>108</v>
      </c>
      <c r="J113" s="355">
        <v>118</v>
      </c>
      <c r="K113" s="356">
        <v>108</v>
      </c>
    </row>
    <row r="114" s="327" customFormat="1" ht="25" customHeight="1" spans="1:11">
      <c r="A114" s="339">
        <v>104</v>
      </c>
      <c r="B114" s="340" t="s">
        <v>563</v>
      </c>
      <c r="C114" s="341" t="s">
        <v>612</v>
      </c>
      <c r="D114" s="342" t="s">
        <v>638</v>
      </c>
      <c r="E114" s="343">
        <v>156</v>
      </c>
      <c r="F114" s="343">
        <v>-156</v>
      </c>
      <c r="G114" s="343">
        <v>0</v>
      </c>
      <c r="H114" s="344"/>
      <c r="I114" s="354">
        <v>156</v>
      </c>
      <c r="J114" s="355">
        <v>119</v>
      </c>
      <c r="K114" s="356"/>
    </row>
    <row r="115" s="327" customFormat="1" ht="25" customHeight="1" spans="1:11">
      <c r="A115" s="339">
        <v>105</v>
      </c>
      <c r="B115" s="340" t="s">
        <v>563</v>
      </c>
      <c r="C115" s="341" t="s">
        <v>612</v>
      </c>
      <c r="D115" s="342" t="s">
        <v>627</v>
      </c>
      <c r="E115" s="343">
        <v>10</v>
      </c>
      <c r="F115" s="343">
        <v>-10</v>
      </c>
      <c r="G115" s="343">
        <v>0</v>
      </c>
      <c r="H115" s="344"/>
      <c r="I115" s="354">
        <v>10</v>
      </c>
      <c r="J115" s="355">
        <v>122</v>
      </c>
      <c r="K115" s="356"/>
    </row>
    <row r="116" s="327" customFormat="1" ht="25" customHeight="1" spans="1:11">
      <c r="A116" s="339">
        <v>106</v>
      </c>
      <c r="B116" s="340" t="s">
        <v>563</v>
      </c>
      <c r="C116" s="341" t="s">
        <v>612</v>
      </c>
      <c r="D116" s="342" t="s">
        <v>639</v>
      </c>
      <c r="E116" s="343">
        <v>10</v>
      </c>
      <c r="F116" s="343">
        <v>-5</v>
      </c>
      <c r="G116" s="343">
        <v>5</v>
      </c>
      <c r="H116" s="344"/>
      <c r="I116" s="354">
        <v>5</v>
      </c>
      <c r="J116" s="355">
        <v>123</v>
      </c>
      <c r="K116" s="356">
        <v>5</v>
      </c>
    </row>
    <row r="117" s="327" customFormat="1" ht="25" customHeight="1" spans="1:11">
      <c r="A117" s="339">
        <v>107</v>
      </c>
      <c r="B117" s="340" t="s">
        <v>563</v>
      </c>
      <c r="C117" s="341" t="s">
        <v>612</v>
      </c>
      <c r="D117" s="342" t="s">
        <v>626</v>
      </c>
      <c r="E117" s="343">
        <v>27</v>
      </c>
      <c r="F117" s="343">
        <v>-16.735</v>
      </c>
      <c r="G117" s="343">
        <v>10.265</v>
      </c>
      <c r="H117" s="344"/>
      <c r="I117" s="354"/>
      <c r="J117" s="355">
        <v>124</v>
      </c>
      <c r="K117" s="356"/>
    </row>
    <row r="118" s="327" customFormat="1" ht="25" customHeight="1" spans="1:11">
      <c r="A118" s="339">
        <v>108</v>
      </c>
      <c r="B118" s="340" t="s">
        <v>563</v>
      </c>
      <c r="C118" s="341" t="s">
        <v>612</v>
      </c>
      <c r="D118" s="342" t="s">
        <v>627</v>
      </c>
      <c r="E118" s="343">
        <v>6</v>
      </c>
      <c r="F118" s="343">
        <v>-6</v>
      </c>
      <c r="G118" s="343">
        <v>0</v>
      </c>
      <c r="H118" s="344"/>
      <c r="I118" s="354"/>
      <c r="J118" s="355">
        <v>125</v>
      </c>
      <c r="K118" s="356"/>
    </row>
    <row r="119" s="327" customFormat="1" ht="25" customHeight="1" spans="1:11">
      <c r="A119" s="339">
        <v>109</v>
      </c>
      <c r="B119" s="340" t="s">
        <v>563</v>
      </c>
      <c r="C119" s="341" t="s">
        <v>612</v>
      </c>
      <c r="D119" s="342" t="s">
        <v>630</v>
      </c>
      <c r="E119" s="343">
        <v>4</v>
      </c>
      <c r="F119" s="343">
        <v>-4</v>
      </c>
      <c r="G119" s="343">
        <v>0</v>
      </c>
      <c r="H119" s="344"/>
      <c r="I119" s="354"/>
      <c r="J119" s="355">
        <v>126</v>
      </c>
      <c r="K119" s="356"/>
    </row>
    <row r="120" s="327" customFormat="1" ht="25" customHeight="1" spans="1:11">
      <c r="A120" s="339">
        <v>110</v>
      </c>
      <c r="B120" s="340" t="s">
        <v>563</v>
      </c>
      <c r="C120" s="341" t="s">
        <v>612</v>
      </c>
      <c r="D120" s="342" t="s">
        <v>640</v>
      </c>
      <c r="E120" s="343">
        <v>4.59</v>
      </c>
      <c r="F120" s="343">
        <v>-4.59</v>
      </c>
      <c r="G120" s="343">
        <v>0</v>
      </c>
      <c r="H120" s="344"/>
      <c r="I120" s="354"/>
      <c r="J120" s="355">
        <v>127</v>
      </c>
      <c r="K120" s="356"/>
    </row>
    <row r="121" s="327" customFormat="1" ht="25" customHeight="1" spans="1:11">
      <c r="A121" s="339">
        <v>111</v>
      </c>
      <c r="B121" s="340" t="s">
        <v>563</v>
      </c>
      <c r="C121" s="341" t="s">
        <v>612</v>
      </c>
      <c r="D121" s="342" t="s">
        <v>641</v>
      </c>
      <c r="E121" s="343">
        <v>80</v>
      </c>
      <c r="F121" s="343">
        <v>-45.031772</v>
      </c>
      <c r="G121" s="343">
        <v>34.968228</v>
      </c>
      <c r="H121" s="344"/>
      <c r="I121" s="354">
        <v>41</v>
      </c>
      <c r="J121" s="355">
        <v>128</v>
      </c>
      <c r="K121" s="356">
        <v>20</v>
      </c>
    </row>
    <row r="122" s="327" customFormat="1" ht="25" customHeight="1" spans="1:11">
      <c r="A122" s="339">
        <v>112</v>
      </c>
      <c r="B122" s="340" t="s">
        <v>563</v>
      </c>
      <c r="C122" s="341" t="s">
        <v>612</v>
      </c>
      <c r="D122" s="342" t="s">
        <v>642</v>
      </c>
      <c r="E122" s="343">
        <v>50</v>
      </c>
      <c r="F122" s="343">
        <v>-50</v>
      </c>
      <c r="G122" s="343">
        <v>0</v>
      </c>
      <c r="H122" s="344"/>
      <c r="I122" s="354">
        <v>50</v>
      </c>
      <c r="J122" s="355">
        <v>366</v>
      </c>
      <c r="K122" s="356"/>
    </row>
    <row r="123" s="327" customFormat="1" ht="25" customHeight="1" spans="1:11">
      <c r="A123" s="339">
        <v>113</v>
      </c>
      <c r="B123" s="340" t="s">
        <v>563</v>
      </c>
      <c r="C123" s="341" t="s">
        <v>612</v>
      </c>
      <c r="D123" s="342" t="s">
        <v>643</v>
      </c>
      <c r="E123" s="343">
        <v>60</v>
      </c>
      <c r="F123" s="343">
        <v>-28.347014</v>
      </c>
      <c r="G123" s="343">
        <v>31.652986</v>
      </c>
      <c r="H123" s="344"/>
      <c r="I123" s="354"/>
      <c r="J123" s="355">
        <v>367</v>
      </c>
      <c r="K123" s="356"/>
    </row>
    <row r="124" s="327" customFormat="1" ht="25" customHeight="1" spans="1:11">
      <c r="A124" s="339">
        <v>114</v>
      </c>
      <c r="B124" s="340" t="s">
        <v>563</v>
      </c>
      <c r="C124" s="341" t="s">
        <v>612</v>
      </c>
      <c r="D124" s="342" t="s">
        <v>644</v>
      </c>
      <c r="E124" s="343">
        <v>8.33</v>
      </c>
      <c r="F124" s="343">
        <v>-8.33</v>
      </c>
      <c r="G124" s="343">
        <v>0</v>
      </c>
      <c r="H124" s="344"/>
      <c r="I124" s="354"/>
      <c r="J124" s="355">
        <v>369</v>
      </c>
      <c r="K124" s="356"/>
    </row>
    <row r="125" s="327" customFormat="1" ht="25" customHeight="1" spans="1:11">
      <c r="A125" s="339">
        <v>115</v>
      </c>
      <c r="B125" s="340" t="s">
        <v>563</v>
      </c>
      <c r="C125" s="341" t="s">
        <v>612</v>
      </c>
      <c r="D125" s="342" t="s">
        <v>645</v>
      </c>
      <c r="E125" s="343">
        <v>44.44</v>
      </c>
      <c r="F125" s="343">
        <v>-7.40869</v>
      </c>
      <c r="G125" s="343">
        <v>37.03131</v>
      </c>
      <c r="H125" s="344"/>
      <c r="I125" s="354">
        <v>7.4</v>
      </c>
      <c r="J125" s="355">
        <v>370</v>
      </c>
      <c r="K125" s="356"/>
    </row>
    <row r="126" s="327" customFormat="1" ht="25" customHeight="1" spans="1:11">
      <c r="A126" s="339">
        <v>116</v>
      </c>
      <c r="B126" s="340" t="s">
        <v>563</v>
      </c>
      <c r="C126" s="341" t="s">
        <v>612</v>
      </c>
      <c r="D126" s="342" t="s">
        <v>646</v>
      </c>
      <c r="E126" s="343">
        <v>1</v>
      </c>
      <c r="F126" s="343">
        <v>-1</v>
      </c>
      <c r="G126" s="343">
        <v>0</v>
      </c>
      <c r="H126" s="344"/>
      <c r="I126" s="354"/>
      <c r="J126" s="355">
        <v>666</v>
      </c>
      <c r="K126" s="356"/>
    </row>
    <row r="127" s="327" customFormat="1" ht="25" customHeight="1" spans="1:11">
      <c r="A127" s="339">
        <v>117</v>
      </c>
      <c r="B127" s="340" t="s">
        <v>563</v>
      </c>
      <c r="C127" s="341" t="s">
        <v>612</v>
      </c>
      <c r="D127" s="342" t="s">
        <v>647</v>
      </c>
      <c r="E127" s="343">
        <v>4</v>
      </c>
      <c r="F127" s="343">
        <v>-2.4275</v>
      </c>
      <c r="G127" s="343">
        <v>1.5725</v>
      </c>
      <c r="H127" s="344"/>
      <c r="I127" s="354"/>
      <c r="J127" s="355">
        <v>667</v>
      </c>
      <c r="K127" s="356"/>
    </row>
    <row r="128" s="327" customFormat="1" ht="25" customHeight="1" spans="1:11">
      <c r="A128" s="339">
        <v>118</v>
      </c>
      <c r="B128" s="340" t="s">
        <v>563</v>
      </c>
      <c r="C128" s="341" t="s">
        <v>612</v>
      </c>
      <c r="D128" s="342" t="s">
        <v>648</v>
      </c>
      <c r="E128" s="343">
        <v>54.63</v>
      </c>
      <c r="F128" s="343">
        <v>-0.004</v>
      </c>
      <c r="G128" s="343">
        <v>54.626</v>
      </c>
      <c r="H128" s="344"/>
      <c r="I128" s="354"/>
      <c r="J128" s="355">
        <v>740</v>
      </c>
      <c r="K128" s="356"/>
    </row>
    <row r="129" s="327" customFormat="1" ht="25" customHeight="1" spans="1:11">
      <c r="A129" s="339">
        <v>119</v>
      </c>
      <c r="B129" s="340" t="s">
        <v>563</v>
      </c>
      <c r="C129" s="341" t="s">
        <v>612</v>
      </c>
      <c r="D129" s="342" t="s">
        <v>649</v>
      </c>
      <c r="E129" s="343">
        <v>12.8</v>
      </c>
      <c r="F129" s="343">
        <v>-5.67</v>
      </c>
      <c r="G129" s="343">
        <v>7.13</v>
      </c>
      <c r="H129" s="344"/>
      <c r="I129" s="354"/>
      <c r="J129" s="355">
        <v>742</v>
      </c>
      <c r="K129" s="356"/>
    </row>
    <row r="130" s="327" customFormat="1" ht="25" customHeight="1" spans="1:11">
      <c r="A130" s="339">
        <v>120</v>
      </c>
      <c r="B130" s="340" t="s">
        <v>563</v>
      </c>
      <c r="C130" s="341" t="s">
        <v>612</v>
      </c>
      <c r="D130" s="342" t="s">
        <v>650</v>
      </c>
      <c r="E130" s="343">
        <v>27.85</v>
      </c>
      <c r="F130" s="343">
        <v>-13.55334</v>
      </c>
      <c r="G130" s="343">
        <v>14.29666</v>
      </c>
      <c r="H130" s="344"/>
      <c r="I130" s="354">
        <v>13.55</v>
      </c>
      <c r="J130" s="355">
        <v>770</v>
      </c>
      <c r="K130" s="356"/>
    </row>
    <row r="131" s="327" customFormat="1" ht="25" customHeight="1" spans="1:11">
      <c r="A131" s="339">
        <v>121</v>
      </c>
      <c r="B131" s="340" t="s">
        <v>598</v>
      </c>
      <c r="C131" s="341" t="s">
        <v>612</v>
      </c>
      <c r="D131" s="342" t="s">
        <v>651</v>
      </c>
      <c r="E131" s="343">
        <v>10</v>
      </c>
      <c r="F131" s="343">
        <v>-5</v>
      </c>
      <c r="G131" s="343">
        <v>5</v>
      </c>
      <c r="H131" s="344"/>
      <c r="I131" s="354">
        <v>5</v>
      </c>
      <c r="J131" s="355">
        <v>86</v>
      </c>
      <c r="K131" s="356"/>
    </row>
    <row r="132" s="327" customFormat="1" ht="25" customHeight="1" spans="1:11">
      <c r="A132" s="339">
        <v>122</v>
      </c>
      <c r="B132" s="340" t="s">
        <v>598</v>
      </c>
      <c r="C132" s="341" t="s">
        <v>612</v>
      </c>
      <c r="D132" s="342" t="s">
        <v>652</v>
      </c>
      <c r="E132" s="343">
        <v>50</v>
      </c>
      <c r="F132" s="343">
        <v>-29.5</v>
      </c>
      <c r="G132" s="343">
        <v>20.5</v>
      </c>
      <c r="H132" s="344"/>
      <c r="I132" s="354">
        <v>29.5</v>
      </c>
      <c r="J132" s="355">
        <v>87</v>
      </c>
      <c r="K132" s="356"/>
    </row>
    <row r="133" s="327" customFormat="1" ht="25" customHeight="1" spans="1:11">
      <c r="A133" s="339">
        <v>123</v>
      </c>
      <c r="B133" s="340" t="s">
        <v>653</v>
      </c>
      <c r="C133" s="341" t="s">
        <v>654</v>
      </c>
      <c r="D133" s="342" t="s">
        <v>655</v>
      </c>
      <c r="E133" s="343">
        <v>110</v>
      </c>
      <c r="F133" s="343">
        <v>-43.56</v>
      </c>
      <c r="G133" s="343">
        <v>66.44</v>
      </c>
      <c r="H133" s="344"/>
      <c r="I133" s="354"/>
      <c r="J133" s="355">
        <v>3522</v>
      </c>
      <c r="K133" s="356"/>
    </row>
    <row r="134" s="327" customFormat="1" ht="25" customHeight="1" spans="1:11">
      <c r="A134" s="339">
        <v>124</v>
      </c>
      <c r="B134" s="340" t="s">
        <v>653</v>
      </c>
      <c r="C134" s="341" t="s">
        <v>654</v>
      </c>
      <c r="D134" s="342" t="s">
        <v>656</v>
      </c>
      <c r="E134" s="343">
        <v>163</v>
      </c>
      <c r="F134" s="343">
        <v>-163</v>
      </c>
      <c r="G134" s="343">
        <v>0</v>
      </c>
      <c r="H134" s="344"/>
      <c r="I134" s="354"/>
      <c r="J134" s="355">
        <v>3537</v>
      </c>
      <c r="K134" s="356"/>
    </row>
    <row r="135" s="327" customFormat="1" ht="25" customHeight="1" spans="1:11">
      <c r="A135" s="339">
        <v>125</v>
      </c>
      <c r="B135" s="340" t="s">
        <v>653</v>
      </c>
      <c r="C135" s="341" t="s">
        <v>654</v>
      </c>
      <c r="D135" s="342" t="s">
        <v>657</v>
      </c>
      <c r="E135" s="343">
        <v>80</v>
      </c>
      <c r="F135" s="343">
        <v>-2.3</v>
      </c>
      <c r="G135" s="343">
        <v>77.7</v>
      </c>
      <c r="H135" s="344"/>
      <c r="I135" s="354"/>
      <c r="J135" s="355">
        <v>3538</v>
      </c>
      <c r="K135" s="356"/>
    </row>
    <row r="136" s="327" customFormat="1" ht="25" customHeight="1" spans="1:11">
      <c r="A136" s="339">
        <v>126</v>
      </c>
      <c r="B136" s="340" t="s">
        <v>653</v>
      </c>
      <c r="C136" s="341" t="s">
        <v>654</v>
      </c>
      <c r="D136" s="342" t="s">
        <v>658</v>
      </c>
      <c r="E136" s="343">
        <v>14.94</v>
      </c>
      <c r="F136" s="343">
        <v>-2.49</v>
      </c>
      <c r="G136" s="343">
        <v>12.45</v>
      </c>
      <c r="H136" s="344"/>
      <c r="I136" s="354"/>
      <c r="J136" s="355">
        <v>3540</v>
      </c>
      <c r="K136" s="356"/>
    </row>
    <row r="137" s="327" customFormat="1" ht="25" customHeight="1" spans="1:11">
      <c r="A137" s="339">
        <v>127</v>
      </c>
      <c r="B137" s="340" t="s">
        <v>653</v>
      </c>
      <c r="C137" s="341" t="s">
        <v>654</v>
      </c>
      <c r="D137" s="342" t="s">
        <v>659</v>
      </c>
      <c r="E137" s="343">
        <v>30</v>
      </c>
      <c r="F137" s="343">
        <v>-0.9</v>
      </c>
      <c r="G137" s="343">
        <v>29.1</v>
      </c>
      <c r="H137" s="344"/>
      <c r="I137" s="354"/>
      <c r="J137" s="355">
        <v>3544</v>
      </c>
      <c r="K137" s="356"/>
    </row>
    <row r="138" s="327" customFormat="1" ht="25" customHeight="1" spans="1:11">
      <c r="A138" s="339">
        <v>128</v>
      </c>
      <c r="B138" s="340" t="s">
        <v>653</v>
      </c>
      <c r="C138" s="341" t="s">
        <v>654</v>
      </c>
      <c r="D138" s="342" t="s">
        <v>656</v>
      </c>
      <c r="E138" s="343">
        <v>410</v>
      </c>
      <c r="F138" s="343">
        <v>-42.5</v>
      </c>
      <c r="G138" s="343">
        <v>367.5</v>
      </c>
      <c r="H138" s="344"/>
      <c r="I138" s="354"/>
      <c r="J138" s="355">
        <v>3545</v>
      </c>
      <c r="K138" s="356"/>
    </row>
    <row r="139" s="327" customFormat="1" ht="25" customHeight="1" spans="1:11">
      <c r="A139" s="339">
        <v>129</v>
      </c>
      <c r="B139" s="340" t="s">
        <v>521</v>
      </c>
      <c r="C139" s="341" t="s">
        <v>660</v>
      </c>
      <c r="D139" s="342" t="s">
        <v>661</v>
      </c>
      <c r="E139" s="343">
        <v>5</v>
      </c>
      <c r="F139" s="343">
        <v>-3.8033</v>
      </c>
      <c r="G139" s="343">
        <v>1.1967</v>
      </c>
      <c r="H139" s="344"/>
      <c r="I139" s="354">
        <v>3.8033</v>
      </c>
      <c r="J139" s="355">
        <v>2533</v>
      </c>
      <c r="K139" s="356">
        <v>3.8</v>
      </c>
    </row>
    <row r="140" s="327" customFormat="1" ht="25" customHeight="1" spans="1:11">
      <c r="A140" s="339">
        <v>130</v>
      </c>
      <c r="B140" s="340" t="s">
        <v>521</v>
      </c>
      <c r="C140" s="341" t="s">
        <v>660</v>
      </c>
      <c r="D140" s="342" t="s">
        <v>661</v>
      </c>
      <c r="E140" s="343">
        <v>45</v>
      </c>
      <c r="F140" s="343">
        <v>-10.7915</v>
      </c>
      <c r="G140" s="343">
        <v>34.2085</v>
      </c>
      <c r="H140" s="344"/>
      <c r="I140" s="354">
        <v>10.7915</v>
      </c>
      <c r="J140" s="355">
        <v>2537</v>
      </c>
      <c r="K140" s="356">
        <v>10.79</v>
      </c>
    </row>
    <row r="141" s="327" customFormat="1" ht="25" customHeight="1" spans="1:11">
      <c r="A141" s="339">
        <v>131</v>
      </c>
      <c r="B141" s="340" t="s">
        <v>521</v>
      </c>
      <c r="C141" s="341" t="s">
        <v>660</v>
      </c>
      <c r="D141" s="342" t="s">
        <v>662</v>
      </c>
      <c r="E141" s="343">
        <v>860</v>
      </c>
      <c r="F141" s="343">
        <v>-29.88428</v>
      </c>
      <c r="G141" s="343">
        <v>830.11572</v>
      </c>
      <c r="H141" s="344"/>
      <c r="I141" s="354"/>
      <c r="J141" s="355">
        <v>2538</v>
      </c>
      <c r="K141" s="356"/>
    </row>
    <row r="142" s="327" customFormat="1" ht="25" customHeight="1" spans="1:11">
      <c r="A142" s="339">
        <v>132</v>
      </c>
      <c r="B142" s="340" t="s">
        <v>653</v>
      </c>
      <c r="C142" s="341" t="s">
        <v>663</v>
      </c>
      <c r="D142" s="342" t="s">
        <v>664</v>
      </c>
      <c r="E142" s="343">
        <v>13.14</v>
      </c>
      <c r="F142" s="343">
        <v>-0.49</v>
      </c>
      <c r="G142" s="343">
        <v>12.65</v>
      </c>
      <c r="H142" s="344"/>
      <c r="I142" s="354"/>
      <c r="J142" s="355">
        <v>3551</v>
      </c>
      <c r="K142" s="356"/>
    </row>
    <row r="143" s="327" customFormat="1" ht="25" customHeight="1" spans="1:11">
      <c r="A143" s="339">
        <v>133</v>
      </c>
      <c r="B143" s="340" t="s">
        <v>653</v>
      </c>
      <c r="C143" s="341" t="s">
        <v>663</v>
      </c>
      <c r="D143" s="342" t="s">
        <v>665</v>
      </c>
      <c r="E143" s="343">
        <v>1.2</v>
      </c>
      <c r="F143" s="343">
        <v>-0.64</v>
      </c>
      <c r="G143" s="343">
        <v>0.56</v>
      </c>
      <c r="H143" s="344"/>
      <c r="I143" s="354"/>
      <c r="J143" s="355">
        <v>3552</v>
      </c>
      <c r="K143" s="356"/>
    </row>
    <row r="144" s="327" customFormat="1" ht="25" customHeight="1" spans="1:11">
      <c r="A144" s="339">
        <v>134</v>
      </c>
      <c r="B144" s="340" t="s">
        <v>653</v>
      </c>
      <c r="C144" s="341" t="s">
        <v>663</v>
      </c>
      <c r="D144" s="342" t="s">
        <v>666</v>
      </c>
      <c r="E144" s="343">
        <v>76.68</v>
      </c>
      <c r="F144" s="343">
        <v>-14.12</v>
      </c>
      <c r="G144" s="343">
        <v>62.56</v>
      </c>
      <c r="H144" s="344"/>
      <c r="I144" s="354"/>
      <c r="J144" s="355">
        <v>3553</v>
      </c>
      <c r="K144" s="356"/>
    </row>
    <row r="145" s="327" customFormat="1" ht="25" customHeight="1" spans="1:11">
      <c r="A145" s="339">
        <v>135</v>
      </c>
      <c r="B145" s="340" t="s">
        <v>653</v>
      </c>
      <c r="C145" s="341" t="s">
        <v>663</v>
      </c>
      <c r="D145" s="342" t="s">
        <v>667</v>
      </c>
      <c r="E145" s="343">
        <v>97.54</v>
      </c>
      <c r="F145" s="343">
        <v>-16.26</v>
      </c>
      <c r="G145" s="343">
        <v>81.28</v>
      </c>
      <c r="H145" s="344"/>
      <c r="I145" s="354"/>
      <c r="J145" s="355">
        <v>3554</v>
      </c>
      <c r="K145" s="356"/>
    </row>
    <row r="146" s="327" customFormat="1" ht="25" customHeight="1" spans="1:11">
      <c r="A146" s="339">
        <v>136</v>
      </c>
      <c r="B146" s="340" t="s">
        <v>653</v>
      </c>
      <c r="C146" s="341" t="s">
        <v>663</v>
      </c>
      <c r="D146" s="342" t="s">
        <v>668</v>
      </c>
      <c r="E146" s="343">
        <v>40</v>
      </c>
      <c r="F146" s="343">
        <v>-40</v>
      </c>
      <c r="G146" s="343">
        <v>0</v>
      </c>
      <c r="H146" s="344"/>
      <c r="I146" s="354"/>
      <c r="J146" s="355">
        <v>3557</v>
      </c>
      <c r="K146" s="356"/>
    </row>
    <row r="147" s="327" customFormat="1" ht="25" customHeight="1" spans="1:11">
      <c r="A147" s="339">
        <v>137</v>
      </c>
      <c r="B147" s="340" t="s">
        <v>540</v>
      </c>
      <c r="C147" s="341" t="s">
        <v>669</v>
      </c>
      <c r="D147" s="342" t="s">
        <v>670</v>
      </c>
      <c r="E147" s="343">
        <v>10</v>
      </c>
      <c r="F147" s="343">
        <v>-10</v>
      </c>
      <c r="G147" s="343">
        <v>0</v>
      </c>
      <c r="H147" s="344"/>
      <c r="I147" s="354"/>
      <c r="J147" s="355">
        <v>3066</v>
      </c>
      <c r="K147" s="356"/>
    </row>
    <row r="148" s="327" customFormat="1" ht="25" customHeight="1" spans="1:11">
      <c r="A148" s="339">
        <v>138</v>
      </c>
      <c r="B148" s="340" t="s">
        <v>540</v>
      </c>
      <c r="C148" s="341" t="s">
        <v>669</v>
      </c>
      <c r="D148" s="342" t="s">
        <v>671</v>
      </c>
      <c r="E148" s="343">
        <v>38</v>
      </c>
      <c r="F148" s="343">
        <v>-38</v>
      </c>
      <c r="G148" s="343">
        <v>0</v>
      </c>
      <c r="H148" s="344"/>
      <c r="I148" s="354">
        <v>38</v>
      </c>
      <c r="J148" s="355">
        <v>3204</v>
      </c>
      <c r="K148" s="356"/>
    </row>
    <row r="149" s="327" customFormat="1" ht="25" customHeight="1" spans="1:11">
      <c r="A149" s="339">
        <v>139</v>
      </c>
      <c r="B149" s="340" t="s">
        <v>563</v>
      </c>
      <c r="C149" s="341" t="s">
        <v>672</v>
      </c>
      <c r="D149" s="342" t="s">
        <v>673</v>
      </c>
      <c r="E149" s="343">
        <v>40</v>
      </c>
      <c r="F149" s="343">
        <v>-20</v>
      </c>
      <c r="G149" s="343">
        <v>20</v>
      </c>
      <c r="H149" s="344"/>
      <c r="I149" s="354">
        <v>20</v>
      </c>
      <c r="J149" s="355">
        <v>788</v>
      </c>
      <c r="K149" s="356">
        <v>10</v>
      </c>
    </row>
    <row r="150" s="327" customFormat="1" ht="25" customHeight="1" spans="1:11">
      <c r="A150" s="339">
        <v>140</v>
      </c>
      <c r="B150" s="340" t="s">
        <v>563</v>
      </c>
      <c r="C150" s="341" t="s">
        <v>672</v>
      </c>
      <c r="D150" s="342" t="s">
        <v>674</v>
      </c>
      <c r="E150" s="343">
        <v>47</v>
      </c>
      <c r="F150" s="343">
        <v>-32</v>
      </c>
      <c r="G150" s="343">
        <v>15</v>
      </c>
      <c r="H150" s="344"/>
      <c r="I150" s="354">
        <v>32</v>
      </c>
      <c r="J150" s="355">
        <v>793</v>
      </c>
      <c r="K150" s="356">
        <v>10</v>
      </c>
    </row>
    <row r="151" s="327" customFormat="1" ht="25" customHeight="1" spans="1:11">
      <c r="A151" s="339">
        <v>141</v>
      </c>
      <c r="B151" s="340" t="s">
        <v>563</v>
      </c>
      <c r="C151" s="341" t="s">
        <v>672</v>
      </c>
      <c r="D151" s="342" t="s">
        <v>675</v>
      </c>
      <c r="E151" s="343">
        <v>15</v>
      </c>
      <c r="F151" s="343">
        <v>-15</v>
      </c>
      <c r="G151" s="343">
        <v>0</v>
      </c>
      <c r="H151" s="344"/>
      <c r="I151" s="354">
        <v>15</v>
      </c>
      <c r="J151" s="355">
        <v>802</v>
      </c>
      <c r="K151" s="356">
        <v>10</v>
      </c>
    </row>
    <row r="152" s="327" customFormat="1" ht="25" customHeight="1" spans="1:11">
      <c r="A152" s="339">
        <v>142</v>
      </c>
      <c r="B152" s="340" t="s">
        <v>563</v>
      </c>
      <c r="C152" s="341" t="s">
        <v>672</v>
      </c>
      <c r="D152" s="342" t="s">
        <v>676</v>
      </c>
      <c r="E152" s="343">
        <v>1.6</v>
      </c>
      <c r="F152" s="343">
        <v>-0.0556</v>
      </c>
      <c r="G152" s="343">
        <v>1.5444</v>
      </c>
      <c r="H152" s="344"/>
      <c r="I152" s="354"/>
      <c r="J152" s="355">
        <v>805</v>
      </c>
      <c r="K152" s="356"/>
    </row>
    <row r="153" s="327" customFormat="1" ht="25" customHeight="1" spans="1:11">
      <c r="A153" s="339">
        <v>143</v>
      </c>
      <c r="B153" s="340" t="s">
        <v>563</v>
      </c>
      <c r="C153" s="341" t="s">
        <v>672</v>
      </c>
      <c r="D153" s="342" t="s">
        <v>677</v>
      </c>
      <c r="E153" s="343">
        <v>16</v>
      </c>
      <c r="F153" s="343">
        <v>-8</v>
      </c>
      <c r="G153" s="343">
        <v>8</v>
      </c>
      <c r="H153" s="344"/>
      <c r="I153" s="354">
        <v>8</v>
      </c>
      <c r="J153" s="355">
        <v>806</v>
      </c>
      <c r="K153" s="356"/>
    </row>
    <row r="154" s="327" customFormat="1" ht="25" customHeight="1" spans="1:11">
      <c r="A154" s="339">
        <v>144</v>
      </c>
      <c r="B154" s="340" t="s">
        <v>563</v>
      </c>
      <c r="C154" s="341" t="s">
        <v>672</v>
      </c>
      <c r="D154" s="342" t="s">
        <v>678</v>
      </c>
      <c r="E154" s="343">
        <v>16</v>
      </c>
      <c r="F154" s="343">
        <v>-8</v>
      </c>
      <c r="G154" s="343">
        <v>8</v>
      </c>
      <c r="H154" s="344"/>
      <c r="I154" s="354">
        <v>8</v>
      </c>
      <c r="J154" s="355">
        <v>807</v>
      </c>
      <c r="K154" s="356"/>
    </row>
    <row r="155" s="327" customFormat="1" ht="25" customHeight="1" spans="1:11">
      <c r="A155" s="339">
        <v>145</v>
      </c>
      <c r="B155" s="340" t="s">
        <v>563</v>
      </c>
      <c r="C155" s="341" t="s">
        <v>679</v>
      </c>
      <c r="D155" s="342" t="s">
        <v>680</v>
      </c>
      <c r="E155" s="343">
        <v>39.86</v>
      </c>
      <c r="F155" s="343">
        <v>-3.296304</v>
      </c>
      <c r="G155" s="343">
        <v>36.563696</v>
      </c>
      <c r="H155" s="344"/>
      <c r="I155" s="354">
        <v>3.3</v>
      </c>
      <c r="J155" s="355">
        <v>813</v>
      </c>
      <c r="K155" s="356">
        <v>3.3</v>
      </c>
    </row>
    <row r="156" s="327" customFormat="1" ht="25" customHeight="1" spans="1:11">
      <c r="A156" s="339">
        <v>146</v>
      </c>
      <c r="B156" s="340" t="s">
        <v>563</v>
      </c>
      <c r="C156" s="341" t="s">
        <v>681</v>
      </c>
      <c r="D156" s="342" t="s">
        <v>682</v>
      </c>
      <c r="E156" s="343">
        <v>100</v>
      </c>
      <c r="F156" s="343">
        <v>-100</v>
      </c>
      <c r="G156" s="343">
        <v>0</v>
      </c>
      <c r="H156" s="344"/>
      <c r="I156" s="354">
        <v>58</v>
      </c>
      <c r="J156" s="355">
        <v>1274</v>
      </c>
      <c r="K156" s="356">
        <v>50</v>
      </c>
    </row>
    <row r="157" s="327" customFormat="1" ht="25" customHeight="1" spans="1:11">
      <c r="A157" s="339">
        <v>147</v>
      </c>
      <c r="B157" s="340" t="s">
        <v>563</v>
      </c>
      <c r="C157" s="341" t="s">
        <v>681</v>
      </c>
      <c r="D157" s="342" t="s">
        <v>683</v>
      </c>
      <c r="E157" s="343">
        <v>2</v>
      </c>
      <c r="F157" s="343">
        <v>-2</v>
      </c>
      <c r="G157" s="343">
        <v>0</v>
      </c>
      <c r="H157" s="344"/>
      <c r="I157" s="354"/>
      <c r="J157" s="355">
        <v>1275</v>
      </c>
      <c r="K157" s="356"/>
    </row>
    <row r="158" s="327" customFormat="1" ht="25" customHeight="1" spans="1:11">
      <c r="A158" s="339">
        <v>148</v>
      </c>
      <c r="B158" s="340" t="s">
        <v>563</v>
      </c>
      <c r="C158" s="341" t="s">
        <v>681</v>
      </c>
      <c r="D158" s="342" t="s">
        <v>684</v>
      </c>
      <c r="E158" s="343">
        <v>50</v>
      </c>
      <c r="F158" s="343">
        <v>-50</v>
      </c>
      <c r="G158" s="343">
        <v>0</v>
      </c>
      <c r="H158" s="344"/>
      <c r="I158" s="354">
        <v>36</v>
      </c>
      <c r="J158" s="355">
        <v>1276</v>
      </c>
      <c r="K158" s="356">
        <v>30</v>
      </c>
    </row>
    <row r="159" s="327" customFormat="1" ht="25" customHeight="1" spans="1:11">
      <c r="A159" s="339">
        <v>149</v>
      </c>
      <c r="B159" s="340" t="s">
        <v>563</v>
      </c>
      <c r="C159" s="341" t="s">
        <v>681</v>
      </c>
      <c r="D159" s="342" t="s">
        <v>685</v>
      </c>
      <c r="E159" s="343">
        <v>2</v>
      </c>
      <c r="F159" s="343">
        <v>-1.94</v>
      </c>
      <c r="G159" s="343">
        <v>0.06</v>
      </c>
      <c r="H159" s="344"/>
      <c r="I159" s="354"/>
      <c r="J159" s="355">
        <v>1279</v>
      </c>
      <c r="K159" s="356"/>
    </row>
    <row r="160" s="327" customFormat="1" ht="25" customHeight="1" spans="1:11">
      <c r="A160" s="339">
        <v>150</v>
      </c>
      <c r="B160" s="340" t="s">
        <v>563</v>
      </c>
      <c r="C160" s="341" t="s">
        <v>681</v>
      </c>
      <c r="D160" s="342" t="s">
        <v>686</v>
      </c>
      <c r="E160" s="343">
        <v>92.96</v>
      </c>
      <c r="F160" s="343">
        <v>-92.96</v>
      </c>
      <c r="G160" s="343">
        <v>0</v>
      </c>
      <c r="H160" s="344"/>
      <c r="I160" s="354">
        <v>92.96</v>
      </c>
      <c r="J160" s="355">
        <v>1304</v>
      </c>
      <c r="K160" s="356">
        <v>92.96</v>
      </c>
    </row>
    <row r="161" s="327" customFormat="1" ht="25" customHeight="1" spans="1:11">
      <c r="A161" s="339">
        <v>151</v>
      </c>
      <c r="B161" s="340" t="s">
        <v>563</v>
      </c>
      <c r="C161" s="341" t="s">
        <v>681</v>
      </c>
      <c r="D161" s="342" t="s">
        <v>687</v>
      </c>
      <c r="E161" s="343">
        <v>100</v>
      </c>
      <c r="F161" s="343">
        <v>-100</v>
      </c>
      <c r="G161" s="343">
        <v>0</v>
      </c>
      <c r="H161" s="344"/>
      <c r="I161" s="354"/>
      <c r="J161" s="355">
        <v>1305</v>
      </c>
      <c r="K161" s="356"/>
    </row>
    <row r="162" s="327" customFormat="1" ht="25" customHeight="1" spans="1:11">
      <c r="A162" s="339">
        <v>152</v>
      </c>
      <c r="B162" s="340" t="s">
        <v>563</v>
      </c>
      <c r="C162" s="341" t="s">
        <v>681</v>
      </c>
      <c r="D162" s="342" t="s">
        <v>688</v>
      </c>
      <c r="E162" s="343">
        <v>5</v>
      </c>
      <c r="F162" s="343">
        <v>-5</v>
      </c>
      <c r="G162" s="343">
        <v>0</v>
      </c>
      <c r="H162" s="344"/>
      <c r="I162" s="354">
        <v>5</v>
      </c>
      <c r="J162" s="355">
        <v>1306</v>
      </c>
      <c r="K162" s="356"/>
    </row>
    <row r="163" s="327" customFormat="1" ht="25" customHeight="1" spans="1:11">
      <c r="A163" s="339">
        <v>153</v>
      </c>
      <c r="B163" s="340" t="s">
        <v>563</v>
      </c>
      <c r="C163" s="341" t="s">
        <v>681</v>
      </c>
      <c r="D163" s="342" t="s">
        <v>689</v>
      </c>
      <c r="E163" s="343">
        <v>289</v>
      </c>
      <c r="F163" s="343">
        <v>-58.4531</v>
      </c>
      <c r="G163" s="343">
        <v>230.5469</v>
      </c>
      <c r="H163" s="344"/>
      <c r="I163" s="354"/>
      <c r="J163" s="355">
        <v>1307</v>
      </c>
      <c r="K163" s="356"/>
    </row>
    <row r="164" s="327" customFormat="1" ht="25" customHeight="1" spans="1:11">
      <c r="A164" s="339">
        <v>154</v>
      </c>
      <c r="B164" s="340" t="s">
        <v>563</v>
      </c>
      <c r="C164" s="341" t="s">
        <v>681</v>
      </c>
      <c r="D164" s="342" t="s">
        <v>690</v>
      </c>
      <c r="E164" s="343">
        <v>30</v>
      </c>
      <c r="F164" s="343">
        <v>-30</v>
      </c>
      <c r="G164" s="343">
        <v>0</v>
      </c>
      <c r="H164" s="344"/>
      <c r="I164" s="354">
        <v>30</v>
      </c>
      <c r="J164" s="355">
        <v>1308</v>
      </c>
      <c r="K164" s="356"/>
    </row>
    <row r="165" s="327" customFormat="1" ht="25" customHeight="1" spans="1:11">
      <c r="A165" s="339">
        <v>155</v>
      </c>
      <c r="B165" s="340" t="s">
        <v>563</v>
      </c>
      <c r="C165" s="341" t="s">
        <v>681</v>
      </c>
      <c r="D165" s="342" t="s">
        <v>691</v>
      </c>
      <c r="E165" s="343">
        <v>50</v>
      </c>
      <c r="F165" s="343">
        <v>-50</v>
      </c>
      <c r="G165" s="343">
        <v>0</v>
      </c>
      <c r="H165" s="344"/>
      <c r="I165" s="354">
        <v>50</v>
      </c>
      <c r="J165" s="355">
        <v>1310</v>
      </c>
      <c r="K165" s="356">
        <v>50</v>
      </c>
    </row>
    <row r="166" s="327" customFormat="1" ht="25" customHeight="1" spans="1:11">
      <c r="A166" s="339">
        <v>156</v>
      </c>
      <c r="B166" s="340" t="s">
        <v>563</v>
      </c>
      <c r="C166" s="341" t="s">
        <v>681</v>
      </c>
      <c r="D166" s="342" t="s">
        <v>692</v>
      </c>
      <c r="E166" s="343">
        <v>120</v>
      </c>
      <c r="F166" s="343">
        <v>-120</v>
      </c>
      <c r="G166" s="343">
        <v>0</v>
      </c>
      <c r="H166" s="344"/>
      <c r="I166" s="354">
        <v>120</v>
      </c>
      <c r="J166" s="355">
        <v>1311</v>
      </c>
      <c r="K166" s="356"/>
    </row>
    <row r="167" s="327" customFormat="1" ht="25" customHeight="1" spans="1:11">
      <c r="A167" s="339">
        <v>157</v>
      </c>
      <c r="B167" s="340" t="s">
        <v>563</v>
      </c>
      <c r="C167" s="341" t="s">
        <v>681</v>
      </c>
      <c r="D167" s="342" t="s">
        <v>693</v>
      </c>
      <c r="E167" s="343">
        <v>8.07</v>
      </c>
      <c r="F167" s="343">
        <v>-7.46</v>
      </c>
      <c r="G167" s="343">
        <v>0.61</v>
      </c>
      <c r="H167" s="344"/>
      <c r="I167" s="354"/>
      <c r="J167" s="355">
        <v>1312</v>
      </c>
      <c r="K167" s="356"/>
    </row>
    <row r="168" s="327" customFormat="1" ht="25" customHeight="1" spans="1:11">
      <c r="A168" s="339">
        <v>158</v>
      </c>
      <c r="B168" s="340" t="s">
        <v>563</v>
      </c>
      <c r="C168" s="341" t="s">
        <v>681</v>
      </c>
      <c r="D168" s="342" t="s">
        <v>694</v>
      </c>
      <c r="E168" s="343">
        <v>2</v>
      </c>
      <c r="F168" s="343">
        <v>-2</v>
      </c>
      <c r="G168" s="343">
        <v>0</v>
      </c>
      <c r="H168" s="344"/>
      <c r="I168" s="354"/>
      <c r="J168" s="355">
        <v>1314</v>
      </c>
      <c r="K168" s="356"/>
    </row>
    <row r="169" s="327" customFormat="1" ht="25" customHeight="1" spans="1:11">
      <c r="A169" s="339">
        <v>159</v>
      </c>
      <c r="B169" s="340" t="s">
        <v>563</v>
      </c>
      <c r="C169" s="341" t="s">
        <v>681</v>
      </c>
      <c r="D169" s="342" t="s">
        <v>695</v>
      </c>
      <c r="E169" s="343">
        <v>2</v>
      </c>
      <c r="F169" s="343">
        <v>-2</v>
      </c>
      <c r="G169" s="343">
        <v>0</v>
      </c>
      <c r="H169" s="344"/>
      <c r="I169" s="354"/>
      <c r="J169" s="355">
        <v>1315</v>
      </c>
      <c r="K169" s="356"/>
    </row>
    <row r="170" s="327" customFormat="1" ht="25" customHeight="1" spans="1:11">
      <c r="A170" s="339">
        <v>160</v>
      </c>
      <c r="B170" s="340" t="s">
        <v>563</v>
      </c>
      <c r="C170" s="341" t="s">
        <v>681</v>
      </c>
      <c r="D170" s="342" t="s">
        <v>696</v>
      </c>
      <c r="E170" s="343">
        <v>28</v>
      </c>
      <c r="F170" s="343">
        <v>-28</v>
      </c>
      <c r="G170" s="343">
        <v>0</v>
      </c>
      <c r="H170" s="344"/>
      <c r="I170" s="354"/>
      <c r="J170" s="355">
        <v>1316</v>
      </c>
      <c r="K170" s="356"/>
    </row>
    <row r="171" s="327" customFormat="1" ht="25" customHeight="1" spans="1:11">
      <c r="A171" s="339">
        <v>161</v>
      </c>
      <c r="B171" s="340" t="s">
        <v>563</v>
      </c>
      <c r="C171" s="341" t="s">
        <v>681</v>
      </c>
      <c r="D171" s="342" t="s">
        <v>697</v>
      </c>
      <c r="E171" s="343">
        <v>1.5</v>
      </c>
      <c r="F171" s="343">
        <v>-1.5</v>
      </c>
      <c r="G171" s="343">
        <v>0</v>
      </c>
      <c r="H171" s="344"/>
      <c r="I171" s="354"/>
      <c r="J171" s="355">
        <v>1317</v>
      </c>
      <c r="K171" s="356"/>
    </row>
    <row r="172" s="327" customFormat="1" ht="25" customHeight="1" spans="1:11">
      <c r="A172" s="339">
        <v>162</v>
      </c>
      <c r="B172" s="340" t="s">
        <v>563</v>
      </c>
      <c r="C172" s="341" t="s">
        <v>681</v>
      </c>
      <c r="D172" s="342" t="s">
        <v>698</v>
      </c>
      <c r="E172" s="343">
        <v>2</v>
      </c>
      <c r="F172" s="343">
        <v>-2</v>
      </c>
      <c r="G172" s="343">
        <v>0</v>
      </c>
      <c r="H172" s="344"/>
      <c r="I172" s="354"/>
      <c r="J172" s="355">
        <v>754</v>
      </c>
      <c r="K172" s="356"/>
    </row>
    <row r="173" s="327" customFormat="1" ht="25" customHeight="1" spans="1:11">
      <c r="A173" s="339">
        <v>163</v>
      </c>
      <c r="B173" s="340" t="s">
        <v>563</v>
      </c>
      <c r="C173" s="341" t="s">
        <v>681</v>
      </c>
      <c r="D173" s="342" t="s">
        <v>699</v>
      </c>
      <c r="E173" s="343">
        <v>100</v>
      </c>
      <c r="F173" s="343">
        <v>-94.3</v>
      </c>
      <c r="G173" s="343">
        <v>5.7</v>
      </c>
      <c r="H173" s="344"/>
      <c r="I173" s="354">
        <v>94.3</v>
      </c>
      <c r="J173" s="355">
        <v>1301</v>
      </c>
      <c r="K173" s="356">
        <v>94.3</v>
      </c>
    </row>
    <row r="174" s="327" customFormat="1" ht="25" customHeight="1" spans="1:11">
      <c r="A174" s="339">
        <v>164</v>
      </c>
      <c r="B174" s="340" t="s">
        <v>563</v>
      </c>
      <c r="C174" s="341" t="s">
        <v>700</v>
      </c>
      <c r="D174" s="342" t="s">
        <v>590</v>
      </c>
      <c r="E174" s="343">
        <v>0.8</v>
      </c>
      <c r="F174" s="343">
        <v>-0.8</v>
      </c>
      <c r="G174" s="343">
        <v>0</v>
      </c>
      <c r="H174" s="344"/>
      <c r="I174" s="354"/>
      <c r="J174" s="355">
        <v>1268</v>
      </c>
      <c r="K174" s="356"/>
    </row>
    <row r="175" s="327" customFormat="1" ht="25" customHeight="1" spans="1:11">
      <c r="A175" s="339">
        <v>165</v>
      </c>
      <c r="B175" s="340" t="s">
        <v>521</v>
      </c>
      <c r="C175" s="341" t="s">
        <v>701</v>
      </c>
      <c r="D175" s="342" t="s">
        <v>522</v>
      </c>
      <c r="E175" s="343">
        <v>12.03</v>
      </c>
      <c r="F175" s="343">
        <v>-12.03</v>
      </c>
      <c r="G175" s="343">
        <v>0</v>
      </c>
      <c r="H175" s="344"/>
      <c r="I175" s="354"/>
      <c r="J175" s="355">
        <v>2223</v>
      </c>
      <c r="K175" s="356"/>
    </row>
    <row r="176" s="327" customFormat="1" ht="25" customHeight="1" spans="1:11">
      <c r="A176" s="339">
        <v>166</v>
      </c>
      <c r="B176" s="340" t="s">
        <v>521</v>
      </c>
      <c r="C176" s="341" t="s">
        <v>701</v>
      </c>
      <c r="D176" s="342" t="s">
        <v>702</v>
      </c>
      <c r="E176" s="343">
        <v>2.5</v>
      </c>
      <c r="F176" s="343">
        <v>-2.5</v>
      </c>
      <c r="G176" s="343">
        <v>0</v>
      </c>
      <c r="H176" s="344"/>
      <c r="I176" s="354"/>
      <c r="J176" s="355">
        <v>2235</v>
      </c>
      <c r="K176" s="356"/>
    </row>
    <row r="177" s="327" customFormat="1" ht="25" customHeight="1" spans="1:11">
      <c r="A177" s="339">
        <v>167</v>
      </c>
      <c r="B177" s="340" t="s">
        <v>521</v>
      </c>
      <c r="C177" s="341" t="s">
        <v>701</v>
      </c>
      <c r="D177" s="342" t="s">
        <v>703</v>
      </c>
      <c r="E177" s="343">
        <v>34</v>
      </c>
      <c r="F177" s="343">
        <v>-2.3364</v>
      </c>
      <c r="G177" s="343">
        <v>31.6636</v>
      </c>
      <c r="H177" s="344"/>
      <c r="I177" s="354"/>
      <c r="J177" s="355">
        <v>2284</v>
      </c>
      <c r="K177" s="356"/>
    </row>
    <row r="178" s="327" customFormat="1" ht="25" customHeight="1" spans="1:11">
      <c r="A178" s="339">
        <v>168</v>
      </c>
      <c r="B178" s="340" t="s">
        <v>521</v>
      </c>
      <c r="C178" s="341" t="s">
        <v>701</v>
      </c>
      <c r="D178" s="342" t="s">
        <v>704</v>
      </c>
      <c r="E178" s="343">
        <v>79.34</v>
      </c>
      <c r="F178" s="343">
        <v>-69.34</v>
      </c>
      <c r="G178" s="343">
        <v>10</v>
      </c>
      <c r="H178" s="344"/>
      <c r="I178" s="354">
        <v>2</v>
      </c>
      <c r="J178" s="355">
        <v>2285</v>
      </c>
      <c r="K178" s="356"/>
    </row>
    <row r="179" s="327" customFormat="1" ht="25" customHeight="1" spans="1:11">
      <c r="A179" s="339">
        <v>169</v>
      </c>
      <c r="B179" s="340" t="s">
        <v>521</v>
      </c>
      <c r="C179" s="341" t="s">
        <v>701</v>
      </c>
      <c r="D179" s="342" t="s">
        <v>705</v>
      </c>
      <c r="E179" s="343">
        <v>1.848151</v>
      </c>
      <c r="F179" s="343">
        <v>-1.27</v>
      </c>
      <c r="G179" s="343">
        <v>0.578151</v>
      </c>
      <c r="H179" s="344"/>
      <c r="I179" s="354"/>
      <c r="J179" s="355">
        <v>2313</v>
      </c>
      <c r="K179" s="356"/>
    </row>
    <row r="180" s="327" customFormat="1" ht="25" customHeight="1" spans="1:11">
      <c r="A180" s="339">
        <v>170</v>
      </c>
      <c r="B180" s="340" t="s">
        <v>521</v>
      </c>
      <c r="C180" s="341" t="s">
        <v>701</v>
      </c>
      <c r="D180" s="342" t="s">
        <v>706</v>
      </c>
      <c r="E180" s="343">
        <v>25</v>
      </c>
      <c r="F180" s="343">
        <v>-25</v>
      </c>
      <c r="G180" s="343">
        <v>0</v>
      </c>
      <c r="H180" s="344"/>
      <c r="I180" s="354"/>
      <c r="J180" s="355">
        <v>2314</v>
      </c>
      <c r="K180" s="356"/>
    </row>
    <row r="181" s="327" customFormat="1" ht="25" customHeight="1" spans="1:11">
      <c r="A181" s="339">
        <v>171</v>
      </c>
      <c r="B181" s="340" t="s">
        <v>521</v>
      </c>
      <c r="C181" s="341" t="s">
        <v>701</v>
      </c>
      <c r="D181" s="342" t="s">
        <v>707</v>
      </c>
      <c r="E181" s="343">
        <v>14.505</v>
      </c>
      <c r="F181" s="343">
        <v>-11.07</v>
      </c>
      <c r="G181" s="343">
        <v>3.435</v>
      </c>
      <c r="H181" s="344"/>
      <c r="I181" s="354"/>
      <c r="J181" s="355">
        <v>2315</v>
      </c>
      <c r="K181" s="357"/>
    </row>
    <row r="182" s="327" customFormat="1" ht="25" customHeight="1" spans="1:11">
      <c r="A182" s="339">
        <v>172</v>
      </c>
      <c r="B182" s="340" t="s">
        <v>521</v>
      </c>
      <c r="C182" s="341" t="s">
        <v>701</v>
      </c>
      <c r="D182" s="342" t="s">
        <v>524</v>
      </c>
      <c r="E182" s="343">
        <v>13</v>
      </c>
      <c r="F182" s="343">
        <v>-3.81</v>
      </c>
      <c r="G182" s="343">
        <v>9.19</v>
      </c>
      <c r="H182" s="344"/>
      <c r="I182" s="354">
        <v>3.81</v>
      </c>
      <c r="J182" s="355">
        <v>2339</v>
      </c>
      <c r="K182" s="357">
        <v>3.81</v>
      </c>
    </row>
    <row r="183" s="327" customFormat="1" ht="25" customHeight="1" spans="1:11">
      <c r="A183" s="339">
        <v>173</v>
      </c>
      <c r="B183" s="340" t="s">
        <v>521</v>
      </c>
      <c r="C183" s="341" t="s">
        <v>701</v>
      </c>
      <c r="D183" s="342" t="s">
        <v>708</v>
      </c>
      <c r="E183" s="343">
        <v>1187</v>
      </c>
      <c r="F183" s="343">
        <v>-1003.912744</v>
      </c>
      <c r="G183" s="343">
        <v>183.087256</v>
      </c>
      <c r="H183" s="344"/>
      <c r="I183" s="354">
        <v>200</v>
      </c>
      <c r="J183" s="355">
        <v>2353</v>
      </c>
      <c r="K183" s="357">
        <v>100</v>
      </c>
    </row>
    <row r="184" s="327" customFormat="1" ht="25" customHeight="1" spans="1:11">
      <c r="A184" s="339">
        <v>174</v>
      </c>
      <c r="B184" s="340" t="s">
        <v>521</v>
      </c>
      <c r="C184" s="341" t="s">
        <v>701</v>
      </c>
      <c r="D184" s="342" t="s">
        <v>523</v>
      </c>
      <c r="E184" s="343">
        <v>24.92</v>
      </c>
      <c r="F184" s="343">
        <v>-11.31</v>
      </c>
      <c r="G184" s="343">
        <v>13.61</v>
      </c>
      <c r="H184" s="344"/>
      <c r="I184" s="354">
        <v>11.31</v>
      </c>
      <c r="J184" s="355">
        <v>2363</v>
      </c>
      <c r="K184" s="357">
        <v>11.31</v>
      </c>
    </row>
    <row r="185" s="327" customFormat="1" ht="25" customHeight="1" spans="1:11">
      <c r="A185" s="339">
        <v>175</v>
      </c>
      <c r="B185" s="340" t="s">
        <v>521</v>
      </c>
      <c r="C185" s="341" t="s">
        <v>701</v>
      </c>
      <c r="D185" s="342" t="s">
        <v>709</v>
      </c>
      <c r="E185" s="343">
        <v>7</v>
      </c>
      <c r="F185" s="343">
        <v>-4</v>
      </c>
      <c r="G185" s="343">
        <v>3</v>
      </c>
      <c r="H185" s="344"/>
      <c r="I185" s="354"/>
      <c r="J185" s="355">
        <v>2371</v>
      </c>
      <c r="K185" s="356"/>
    </row>
    <row r="186" s="327" customFormat="1" ht="25" customHeight="1" spans="1:11">
      <c r="A186" s="339">
        <v>176</v>
      </c>
      <c r="B186" s="340" t="s">
        <v>521</v>
      </c>
      <c r="C186" s="341" t="s">
        <v>701</v>
      </c>
      <c r="D186" s="342" t="s">
        <v>710</v>
      </c>
      <c r="E186" s="343">
        <v>69</v>
      </c>
      <c r="F186" s="343">
        <v>-10.243</v>
      </c>
      <c r="G186" s="343">
        <v>58.757</v>
      </c>
      <c r="H186" s="344"/>
      <c r="I186" s="354"/>
      <c r="J186" s="355">
        <v>2549</v>
      </c>
      <c r="K186" s="356"/>
    </row>
    <row r="187" s="327" customFormat="1" ht="25" customHeight="1" spans="1:11">
      <c r="A187" s="339">
        <v>177</v>
      </c>
      <c r="B187" s="340" t="s">
        <v>521</v>
      </c>
      <c r="C187" s="341" t="s">
        <v>701</v>
      </c>
      <c r="D187" s="342" t="s">
        <v>711</v>
      </c>
      <c r="E187" s="343">
        <v>158.4</v>
      </c>
      <c r="F187" s="343">
        <v>-158.4</v>
      </c>
      <c r="G187" s="343">
        <v>0</v>
      </c>
      <c r="H187" s="344"/>
      <c r="I187" s="354">
        <v>158.4</v>
      </c>
      <c r="J187" s="355">
        <v>2553</v>
      </c>
      <c r="K187" s="357">
        <v>158.4</v>
      </c>
    </row>
    <row r="188" s="327" customFormat="1" ht="25" customHeight="1" spans="1:11">
      <c r="A188" s="339">
        <v>178</v>
      </c>
      <c r="B188" s="340" t="s">
        <v>521</v>
      </c>
      <c r="C188" s="341" t="s">
        <v>701</v>
      </c>
      <c r="D188" s="342" t="s">
        <v>712</v>
      </c>
      <c r="E188" s="343">
        <v>3</v>
      </c>
      <c r="F188" s="343">
        <v>-3</v>
      </c>
      <c r="G188" s="343">
        <v>0</v>
      </c>
      <c r="H188" s="344"/>
      <c r="I188" s="354">
        <v>3</v>
      </c>
      <c r="J188" s="355">
        <v>2244</v>
      </c>
      <c r="K188" s="356"/>
    </row>
    <row r="189" s="327" customFormat="1" ht="25" customHeight="1" spans="1:11">
      <c r="A189" s="339">
        <v>179</v>
      </c>
      <c r="B189" s="340" t="s">
        <v>521</v>
      </c>
      <c r="C189" s="341" t="s">
        <v>701</v>
      </c>
      <c r="D189" s="342" t="s">
        <v>713</v>
      </c>
      <c r="E189" s="343">
        <v>365</v>
      </c>
      <c r="F189" s="343">
        <v>-325</v>
      </c>
      <c r="G189" s="343">
        <v>40</v>
      </c>
      <c r="H189" s="344"/>
      <c r="I189" s="354">
        <v>262.5</v>
      </c>
      <c r="J189" s="355">
        <v>2286</v>
      </c>
      <c r="K189" s="356">
        <v>262.5</v>
      </c>
    </row>
    <row r="190" s="327" customFormat="1" ht="25" customHeight="1" spans="1:11">
      <c r="A190" s="339">
        <v>180</v>
      </c>
      <c r="B190" s="340" t="s">
        <v>521</v>
      </c>
      <c r="C190" s="341" t="s">
        <v>701</v>
      </c>
      <c r="D190" s="342" t="s">
        <v>714</v>
      </c>
      <c r="E190" s="343">
        <v>30</v>
      </c>
      <c r="F190" s="343">
        <v>-30</v>
      </c>
      <c r="G190" s="343">
        <v>0</v>
      </c>
      <c r="H190" s="344"/>
      <c r="I190" s="354"/>
      <c r="J190" s="355">
        <v>2287</v>
      </c>
      <c r="K190" s="356"/>
    </row>
    <row r="191" s="327" customFormat="1" ht="25" customHeight="1" spans="1:11">
      <c r="A191" s="339">
        <v>181</v>
      </c>
      <c r="B191" s="340" t="s">
        <v>521</v>
      </c>
      <c r="C191" s="341" t="s">
        <v>701</v>
      </c>
      <c r="D191" s="342" t="s">
        <v>715</v>
      </c>
      <c r="E191" s="343">
        <v>0.84</v>
      </c>
      <c r="F191" s="343">
        <v>-0.84</v>
      </c>
      <c r="G191" s="343">
        <v>0</v>
      </c>
      <c r="H191" s="344"/>
      <c r="I191" s="354"/>
      <c r="J191" s="355">
        <v>2301</v>
      </c>
      <c r="K191" s="356"/>
    </row>
    <row r="192" s="327" customFormat="1" ht="25" customHeight="1" spans="1:11">
      <c r="A192" s="339">
        <v>182</v>
      </c>
      <c r="B192" s="340" t="s">
        <v>521</v>
      </c>
      <c r="C192" s="341" t="s">
        <v>701</v>
      </c>
      <c r="D192" s="342" t="s">
        <v>716</v>
      </c>
      <c r="E192" s="343">
        <v>3.26</v>
      </c>
      <c r="F192" s="343">
        <v>-3.26</v>
      </c>
      <c r="G192" s="343">
        <v>0</v>
      </c>
      <c r="H192" s="344"/>
      <c r="I192" s="354"/>
      <c r="J192" s="355">
        <v>2327</v>
      </c>
      <c r="K192" s="356"/>
    </row>
    <row r="193" s="327" customFormat="1" ht="25" customHeight="1" spans="1:11">
      <c r="A193" s="339">
        <v>183</v>
      </c>
      <c r="B193" s="340" t="s">
        <v>521</v>
      </c>
      <c r="C193" s="341" t="s">
        <v>701</v>
      </c>
      <c r="D193" s="342" t="s">
        <v>707</v>
      </c>
      <c r="E193" s="343">
        <v>14.44</v>
      </c>
      <c r="F193" s="343">
        <v>-14.44</v>
      </c>
      <c r="G193" s="343">
        <v>0</v>
      </c>
      <c r="H193" s="344"/>
      <c r="I193" s="354">
        <v>3.435</v>
      </c>
      <c r="J193" s="355">
        <v>2337</v>
      </c>
      <c r="K193" s="357">
        <v>3.435</v>
      </c>
    </row>
    <row r="194" s="327" customFormat="1" ht="25" customHeight="1" spans="1:11">
      <c r="A194" s="339">
        <v>184</v>
      </c>
      <c r="B194" s="340" t="s">
        <v>521</v>
      </c>
      <c r="C194" s="341" t="s">
        <v>701</v>
      </c>
      <c r="D194" s="342" t="s">
        <v>717</v>
      </c>
      <c r="E194" s="343">
        <v>6.999863</v>
      </c>
      <c r="F194" s="343">
        <v>-6.999863</v>
      </c>
      <c r="G194" s="343">
        <v>0</v>
      </c>
      <c r="H194" s="344"/>
      <c r="I194" s="354">
        <v>6.999863</v>
      </c>
      <c r="J194" s="355">
        <v>2357</v>
      </c>
      <c r="K194" s="357">
        <v>6.999863</v>
      </c>
    </row>
    <row r="195" s="327" customFormat="1" ht="25" customHeight="1" spans="1:11">
      <c r="A195" s="339">
        <v>185</v>
      </c>
      <c r="B195" s="340" t="s">
        <v>521</v>
      </c>
      <c r="C195" s="341" t="s">
        <v>701</v>
      </c>
      <c r="D195" s="342" t="s">
        <v>717</v>
      </c>
      <c r="E195" s="343">
        <v>191.67</v>
      </c>
      <c r="F195" s="343">
        <v>-74.14</v>
      </c>
      <c r="G195" s="343">
        <v>117.53</v>
      </c>
      <c r="H195" s="344"/>
      <c r="I195" s="354">
        <v>74.14</v>
      </c>
      <c r="J195" s="355">
        <v>2359</v>
      </c>
      <c r="K195" s="357">
        <v>74.14</v>
      </c>
    </row>
    <row r="196" s="327" customFormat="1" ht="25" customHeight="1" spans="1:11">
      <c r="A196" s="339">
        <v>186</v>
      </c>
      <c r="B196" s="340" t="s">
        <v>521</v>
      </c>
      <c r="C196" s="341" t="s">
        <v>701</v>
      </c>
      <c r="D196" s="342" t="s">
        <v>718</v>
      </c>
      <c r="E196" s="343">
        <v>23.98</v>
      </c>
      <c r="F196" s="343">
        <v>-0.19</v>
      </c>
      <c r="G196" s="343">
        <v>23.79</v>
      </c>
      <c r="H196" s="344"/>
      <c r="I196" s="354">
        <v>0.19</v>
      </c>
      <c r="J196" s="355">
        <v>2401</v>
      </c>
      <c r="K196" s="357">
        <v>0.19</v>
      </c>
    </row>
    <row r="197" s="327" customFormat="1" ht="25" customHeight="1" spans="1:11">
      <c r="A197" s="339">
        <v>187</v>
      </c>
      <c r="B197" s="340" t="s">
        <v>521</v>
      </c>
      <c r="C197" s="341" t="s">
        <v>701</v>
      </c>
      <c r="D197" s="342" t="s">
        <v>719</v>
      </c>
      <c r="E197" s="343">
        <v>6.5</v>
      </c>
      <c r="F197" s="343">
        <v>-0.436</v>
      </c>
      <c r="G197" s="343">
        <v>6.064</v>
      </c>
      <c r="H197" s="344"/>
      <c r="I197" s="354">
        <v>0.436</v>
      </c>
      <c r="J197" s="355">
        <v>2402</v>
      </c>
      <c r="K197" s="357">
        <v>0.436</v>
      </c>
    </row>
    <row r="198" s="327" customFormat="1" ht="25" customHeight="1" spans="1:11">
      <c r="A198" s="339">
        <v>188</v>
      </c>
      <c r="B198" s="340" t="s">
        <v>521</v>
      </c>
      <c r="C198" s="341" t="s">
        <v>701</v>
      </c>
      <c r="D198" s="342" t="s">
        <v>720</v>
      </c>
      <c r="E198" s="343">
        <v>1</v>
      </c>
      <c r="F198" s="343">
        <v>-0.32875</v>
      </c>
      <c r="G198" s="343">
        <v>0.67125</v>
      </c>
      <c r="H198" s="344"/>
      <c r="I198" s="354">
        <v>0.32875</v>
      </c>
      <c r="J198" s="355">
        <v>2403</v>
      </c>
      <c r="K198" s="357">
        <v>0.32875</v>
      </c>
    </row>
    <row r="199" s="327" customFormat="1" ht="25" customHeight="1" spans="1:11">
      <c r="A199" s="339">
        <v>189</v>
      </c>
      <c r="B199" s="340" t="s">
        <v>521</v>
      </c>
      <c r="C199" s="341" t="s">
        <v>701</v>
      </c>
      <c r="D199" s="342" t="s">
        <v>721</v>
      </c>
      <c r="E199" s="343">
        <v>3</v>
      </c>
      <c r="F199" s="343">
        <v>-0.6312</v>
      </c>
      <c r="G199" s="343">
        <v>2.3688</v>
      </c>
      <c r="H199" s="344"/>
      <c r="I199" s="354">
        <v>0.6312</v>
      </c>
      <c r="J199" s="355">
        <v>2404</v>
      </c>
      <c r="K199" s="357">
        <v>0.6312</v>
      </c>
    </row>
    <row r="200" s="327" customFormat="1" ht="25" customHeight="1" spans="1:11">
      <c r="A200" s="339">
        <v>190</v>
      </c>
      <c r="B200" s="340" t="s">
        <v>521</v>
      </c>
      <c r="C200" s="341" t="s">
        <v>701</v>
      </c>
      <c r="D200" s="342" t="s">
        <v>722</v>
      </c>
      <c r="E200" s="343">
        <v>45</v>
      </c>
      <c r="F200" s="343">
        <v>-7.00635</v>
      </c>
      <c r="G200" s="343">
        <v>37.99365</v>
      </c>
      <c r="H200" s="344"/>
      <c r="I200" s="354"/>
      <c r="J200" s="355">
        <v>2405</v>
      </c>
      <c r="K200" s="357"/>
    </row>
    <row r="201" s="327" customFormat="1" ht="25" customHeight="1" spans="1:11">
      <c r="A201" s="339">
        <v>191</v>
      </c>
      <c r="B201" s="340" t="s">
        <v>521</v>
      </c>
      <c r="C201" s="341" t="s">
        <v>701</v>
      </c>
      <c r="D201" s="342" t="s">
        <v>723</v>
      </c>
      <c r="E201" s="343">
        <v>6</v>
      </c>
      <c r="F201" s="343">
        <v>-0.7</v>
      </c>
      <c r="G201" s="343">
        <v>5.3</v>
      </c>
      <c r="H201" s="344"/>
      <c r="I201" s="354"/>
      <c r="J201" s="355">
        <v>2406</v>
      </c>
      <c r="K201" s="356"/>
    </row>
    <row r="202" s="327" customFormat="1" ht="25" customHeight="1" spans="1:11">
      <c r="A202" s="339">
        <v>192</v>
      </c>
      <c r="B202" s="340" t="s">
        <v>521</v>
      </c>
      <c r="C202" s="341" t="s">
        <v>701</v>
      </c>
      <c r="D202" s="342" t="s">
        <v>724</v>
      </c>
      <c r="E202" s="343">
        <v>3</v>
      </c>
      <c r="F202" s="343">
        <v>-2.094</v>
      </c>
      <c r="G202" s="343">
        <v>0.906</v>
      </c>
      <c r="H202" s="344"/>
      <c r="I202" s="354"/>
      <c r="J202" s="355">
        <v>2407</v>
      </c>
      <c r="K202" s="356"/>
    </row>
    <row r="203" s="327" customFormat="1" ht="25" customHeight="1" spans="1:11">
      <c r="A203" s="339">
        <v>193</v>
      </c>
      <c r="B203" s="340" t="s">
        <v>521</v>
      </c>
      <c r="C203" s="341" t="s">
        <v>701</v>
      </c>
      <c r="D203" s="342" t="s">
        <v>725</v>
      </c>
      <c r="E203" s="343">
        <v>12</v>
      </c>
      <c r="F203" s="343">
        <v>-9.853312</v>
      </c>
      <c r="G203" s="343">
        <v>2.146688</v>
      </c>
      <c r="H203" s="344"/>
      <c r="I203" s="354"/>
      <c r="J203" s="355">
        <v>2408</v>
      </c>
      <c r="K203" s="356"/>
    </row>
    <row r="204" s="327" customFormat="1" ht="25" customHeight="1" spans="1:11">
      <c r="A204" s="339">
        <v>194</v>
      </c>
      <c r="B204" s="340" t="s">
        <v>521</v>
      </c>
      <c r="C204" s="341" t="s">
        <v>701</v>
      </c>
      <c r="D204" s="342" t="s">
        <v>726</v>
      </c>
      <c r="E204" s="343">
        <v>15</v>
      </c>
      <c r="F204" s="343">
        <v>-15</v>
      </c>
      <c r="G204" s="343">
        <v>0</v>
      </c>
      <c r="H204" s="344"/>
      <c r="I204" s="354"/>
      <c r="J204" s="355">
        <v>2440</v>
      </c>
      <c r="K204" s="356"/>
    </row>
    <row r="205" s="327" customFormat="1" ht="25" customHeight="1" spans="1:11">
      <c r="A205" s="339">
        <v>195</v>
      </c>
      <c r="B205" s="340" t="s">
        <v>521</v>
      </c>
      <c r="C205" s="341" t="s">
        <v>701</v>
      </c>
      <c r="D205" s="342" t="s">
        <v>726</v>
      </c>
      <c r="E205" s="343">
        <v>16</v>
      </c>
      <c r="F205" s="343">
        <v>-16</v>
      </c>
      <c r="G205" s="343">
        <v>0</v>
      </c>
      <c r="H205" s="344"/>
      <c r="I205" s="354"/>
      <c r="J205" s="355">
        <v>2441</v>
      </c>
      <c r="K205" s="356"/>
    </row>
    <row r="206" s="327" customFormat="1" ht="25" customHeight="1" spans="1:11">
      <c r="A206" s="339">
        <v>196</v>
      </c>
      <c r="B206" s="340" t="s">
        <v>521</v>
      </c>
      <c r="C206" s="341" t="s">
        <v>701</v>
      </c>
      <c r="D206" s="342" t="s">
        <v>727</v>
      </c>
      <c r="E206" s="343">
        <v>25</v>
      </c>
      <c r="F206" s="343">
        <v>-16.175964</v>
      </c>
      <c r="G206" s="343">
        <v>8.824036</v>
      </c>
      <c r="H206" s="344"/>
      <c r="I206" s="354"/>
      <c r="J206" s="355">
        <v>2442</v>
      </c>
      <c r="K206" s="356"/>
    </row>
    <row r="207" s="327" customFormat="1" ht="25" customHeight="1" spans="1:11">
      <c r="A207" s="339">
        <v>197</v>
      </c>
      <c r="B207" s="340" t="s">
        <v>521</v>
      </c>
      <c r="C207" s="341" t="s">
        <v>728</v>
      </c>
      <c r="D207" s="342" t="s">
        <v>707</v>
      </c>
      <c r="E207" s="343">
        <v>163.25</v>
      </c>
      <c r="F207" s="343">
        <v>-163.25</v>
      </c>
      <c r="G207" s="343">
        <v>0</v>
      </c>
      <c r="H207" s="344"/>
      <c r="I207" s="354">
        <v>163.25</v>
      </c>
      <c r="J207" s="355"/>
      <c r="K207" s="357">
        <v>163.25</v>
      </c>
    </row>
    <row r="208" s="327" customFormat="1" ht="25" customHeight="1" spans="1:11">
      <c r="A208" s="339">
        <v>198</v>
      </c>
      <c r="B208" s="340" t="s">
        <v>521</v>
      </c>
      <c r="C208" s="341" t="s">
        <v>729</v>
      </c>
      <c r="D208" s="342" t="s">
        <v>730</v>
      </c>
      <c r="E208" s="343">
        <v>7</v>
      </c>
      <c r="F208" s="343">
        <v>-5</v>
      </c>
      <c r="G208" s="343">
        <v>2</v>
      </c>
      <c r="H208" s="344"/>
      <c r="I208" s="354"/>
      <c r="J208" s="355">
        <v>2311</v>
      </c>
      <c r="K208" s="356"/>
    </row>
    <row r="209" s="327" customFormat="1" ht="25" customHeight="1" spans="1:11">
      <c r="A209" s="339">
        <v>199</v>
      </c>
      <c r="B209" s="340" t="s">
        <v>521</v>
      </c>
      <c r="C209" s="341" t="s">
        <v>729</v>
      </c>
      <c r="D209" s="342" t="s">
        <v>731</v>
      </c>
      <c r="E209" s="343">
        <v>40</v>
      </c>
      <c r="F209" s="343">
        <v>-20</v>
      </c>
      <c r="G209" s="343">
        <v>20</v>
      </c>
      <c r="H209" s="344"/>
      <c r="I209" s="354">
        <v>7.1</v>
      </c>
      <c r="J209" s="355">
        <v>2362</v>
      </c>
      <c r="K209" s="356">
        <v>7.1</v>
      </c>
    </row>
    <row r="210" s="327" customFormat="1" ht="25" customHeight="1" spans="1:11">
      <c r="A210" s="339">
        <v>200</v>
      </c>
      <c r="B210" s="340" t="s">
        <v>521</v>
      </c>
      <c r="C210" s="341" t="s">
        <v>729</v>
      </c>
      <c r="D210" s="342" t="s">
        <v>732</v>
      </c>
      <c r="E210" s="343">
        <v>40</v>
      </c>
      <c r="F210" s="343">
        <v>-40</v>
      </c>
      <c r="G210" s="343">
        <v>0</v>
      </c>
      <c r="H210" s="344"/>
      <c r="I210" s="354">
        <v>40</v>
      </c>
      <c r="J210" s="355">
        <v>2546</v>
      </c>
      <c r="K210" s="356"/>
    </row>
    <row r="211" s="327" customFormat="1" ht="25" customHeight="1" spans="1:11">
      <c r="A211" s="339">
        <v>201</v>
      </c>
      <c r="B211" s="340" t="s">
        <v>516</v>
      </c>
      <c r="C211" s="341" t="s">
        <v>733</v>
      </c>
      <c r="D211" s="342" t="s">
        <v>734</v>
      </c>
      <c r="E211" s="343">
        <v>120</v>
      </c>
      <c r="F211" s="343">
        <v>-120</v>
      </c>
      <c r="G211" s="343">
        <v>0</v>
      </c>
      <c r="H211" s="344"/>
      <c r="I211" s="354">
        <v>120</v>
      </c>
      <c r="J211" s="355">
        <v>456</v>
      </c>
      <c r="K211" s="356">
        <v>60</v>
      </c>
    </row>
    <row r="212" s="327" customFormat="1" ht="25" customHeight="1" spans="1:11">
      <c r="A212" s="339">
        <v>202</v>
      </c>
      <c r="B212" s="340" t="s">
        <v>516</v>
      </c>
      <c r="C212" s="341" t="s">
        <v>733</v>
      </c>
      <c r="D212" s="342" t="s">
        <v>734</v>
      </c>
      <c r="E212" s="343">
        <v>120</v>
      </c>
      <c r="F212" s="343">
        <v>-120</v>
      </c>
      <c r="G212" s="343">
        <v>0</v>
      </c>
      <c r="H212" s="344"/>
      <c r="I212" s="354"/>
      <c r="J212" s="355">
        <v>550</v>
      </c>
      <c r="K212" s="356"/>
    </row>
    <row r="213" s="327" customFormat="1" ht="25" customHeight="1" spans="1:11">
      <c r="A213" s="339">
        <v>203</v>
      </c>
      <c r="B213" s="340" t="s">
        <v>563</v>
      </c>
      <c r="C213" s="341" t="s">
        <v>733</v>
      </c>
      <c r="D213" s="342" t="s">
        <v>735</v>
      </c>
      <c r="E213" s="343">
        <v>28</v>
      </c>
      <c r="F213" s="343">
        <v>-14</v>
      </c>
      <c r="G213" s="343">
        <v>14</v>
      </c>
      <c r="H213" s="344"/>
      <c r="I213" s="354">
        <v>14</v>
      </c>
      <c r="J213" s="355">
        <v>554</v>
      </c>
      <c r="K213" s="356"/>
    </row>
    <row r="214" s="327" customFormat="1" ht="25" customHeight="1" spans="1:11">
      <c r="A214" s="339">
        <v>204</v>
      </c>
      <c r="B214" s="340" t="s">
        <v>563</v>
      </c>
      <c r="C214" s="341" t="s">
        <v>733</v>
      </c>
      <c r="D214" s="342" t="s">
        <v>736</v>
      </c>
      <c r="E214" s="343">
        <v>26</v>
      </c>
      <c r="F214" s="343">
        <v>-1</v>
      </c>
      <c r="G214" s="343">
        <v>25</v>
      </c>
      <c r="H214" s="344"/>
      <c r="I214" s="354"/>
      <c r="J214" s="355">
        <v>555</v>
      </c>
      <c r="K214" s="356"/>
    </row>
    <row r="215" s="327" customFormat="1" ht="25" customHeight="1" spans="1:11">
      <c r="A215" s="339">
        <v>205</v>
      </c>
      <c r="B215" s="340" t="s">
        <v>563</v>
      </c>
      <c r="C215" s="341" t="s">
        <v>733</v>
      </c>
      <c r="D215" s="342" t="s">
        <v>737</v>
      </c>
      <c r="E215" s="343">
        <v>10</v>
      </c>
      <c r="F215" s="343">
        <v>-10</v>
      </c>
      <c r="G215" s="343">
        <v>0</v>
      </c>
      <c r="H215" s="344"/>
      <c r="I215" s="354">
        <v>10</v>
      </c>
      <c r="J215" s="355">
        <v>556</v>
      </c>
      <c r="K215" s="356"/>
    </row>
    <row r="216" s="327" customFormat="1" ht="25" customHeight="1" spans="1:11">
      <c r="A216" s="339">
        <v>206</v>
      </c>
      <c r="B216" s="340" t="s">
        <v>563</v>
      </c>
      <c r="C216" s="341" t="s">
        <v>733</v>
      </c>
      <c r="D216" s="342" t="s">
        <v>738</v>
      </c>
      <c r="E216" s="343">
        <v>18.4</v>
      </c>
      <c r="F216" s="343">
        <v>-18.4</v>
      </c>
      <c r="G216" s="343">
        <v>0</v>
      </c>
      <c r="H216" s="344"/>
      <c r="I216" s="354">
        <v>18.4</v>
      </c>
      <c r="J216" s="355">
        <v>557</v>
      </c>
      <c r="K216" s="356">
        <v>18.4</v>
      </c>
    </row>
    <row r="217" s="327" customFormat="1" ht="25" customHeight="1" spans="1:11">
      <c r="A217" s="339">
        <v>207</v>
      </c>
      <c r="B217" s="340" t="s">
        <v>563</v>
      </c>
      <c r="C217" s="341" t="s">
        <v>733</v>
      </c>
      <c r="D217" s="342" t="s">
        <v>739</v>
      </c>
      <c r="E217" s="343">
        <v>10</v>
      </c>
      <c r="F217" s="343">
        <v>-10</v>
      </c>
      <c r="G217" s="343">
        <v>0</v>
      </c>
      <c r="H217" s="344"/>
      <c r="I217" s="354"/>
      <c r="J217" s="355">
        <v>560</v>
      </c>
      <c r="K217" s="356"/>
    </row>
    <row r="218" s="327" customFormat="1" ht="25" customHeight="1" spans="1:11">
      <c r="A218" s="339">
        <v>208</v>
      </c>
      <c r="B218" s="340" t="s">
        <v>563</v>
      </c>
      <c r="C218" s="341" t="s">
        <v>733</v>
      </c>
      <c r="D218" s="342" t="s">
        <v>740</v>
      </c>
      <c r="E218" s="343">
        <v>20</v>
      </c>
      <c r="F218" s="343">
        <v>-20</v>
      </c>
      <c r="G218" s="343">
        <v>0</v>
      </c>
      <c r="H218" s="344"/>
      <c r="I218" s="354">
        <v>20</v>
      </c>
      <c r="J218" s="355">
        <v>561</v>
      </c>
      <c r="K218" s="356"/>
    </row>
    <row r="219" s="327" customFormat="1" ht="25" customHeight="1" spans="1:11">
      <c r="A219" s="339">
        <v>209</v>
      </c>
      <c r="B219" s="340" t="s">
        <v>563</v>
      </c>
      <c r="C219" s="341" t="s">
        <v>733</v>
      </c>
      <c r="D219" s="342" t="s">
        <v>741</v>
      </c>
      <c r="E219" s="343">
        <v>21</v>
      </c>
      <c r="F219" s="343">
        <v>-21</v>
      </c>
      <c r="G219" s="343">
        <v>0</v>
      </c>
      <c r="H219" s="344"/>
      <c r="I219" s="354">
        <v>21</v>
      </c>
      <c r="J219" s="355">
        <v>562</v>
      </c>
      <c r="K219" s="356">
        <v>21</v>
      </c>
    </row>
    <row r="220" s="327" customFormat="1" ht="25" customHeight="1" spans="1:11">
      <c r="A220" s="339">
        <v>210</v>
      </c>
      <c r="B220" s="340" t="s">
        <v>563</v>
      </c>
      <c r="C220" s="341" t="s">
        <v>733</v>
      </c>
      <c r="D220" s="342" t="s">
        <v>742</v>
      </c>
      <c r="E220" s="343">
        <v>90</v>
      </c>
      <c r="F220" s="343">
        <v>-75</v>
      </c>
      <c r="G220" s="343">
        <v>15</v>
      </c>
      <c r="H220" s="344"/>
      <c r="I220" s="354"/>
      <c r="J220" s="355">
        <v>563</v>
      </c>
      <c r="K220" s="356"/>
    </row>
    <row r="221" s="327" customFormat="1" ht="25" customHeight="1" spans="1:11">
      <c r="A221" s="339">
        <v>211</v>
      </c>
      <c r="B221" s="340" t="s">
        <v>563</v>
      </c>
      <c r="C221" s="341" t="s">
        <v>733</v>
      </c>
      <c r="D221" s="342" t="s">
        <v>743</v>
      </c>
      <c r="E221" s="343">
        <v>28.79</v>
      </c>
      <c r="F221" s="343">
        <v>-28.79</v>
      </c>
      <c r="G221" s="343">
        <v>0</v>
      </c>
      <c r="H221" s="344"/>
      <c r="I221" s="354">
        <v>28.79</v>
      </c>
      <c r="J221" s="355">
        <v>567</v>
      </c>
      <c r="K221" s="356">
        <v>28.79</v>
      </c>
    </row>
    <row r="222" s="327" customFormat="1" ht="25" customHeight="1" spans="1:11">
      <c r="A222" s="339">
        <v>212</v>
      </c>
      <c r="B222" s="340" t="s">
        <v>563</v>
      </c>
      <c r="C222" s="341" t="s">
        <v>733</v>
      </c>
      <c r="D222" s="342" t="s">
        <v>744</v>
      </c>
      <c r="E222" s="343">
        <v>5</v>
      </c>
      <c r="F222" s="343">
        <v>-5</v>
      </c>
      <c r="G222" s="343">
        <v>0</v>
      </c>
      <c r="H222" s="344"/>
      <c r="I222" s="354"/>
      <c r="J222" s="355">
        <v>568</v>
      </c>
      <c r="K222" s="356"/>
    </row>
    <row r="223" s="327" customFormat="1" ht="25" customHeight="1" spans="1:11">
      <c r="A223" s="339">
        <v>213</v>
      </c>
      <c r="B223" s="340" t="s">
        <v>563</v>
      </c>
      <c r="C223" s="341" t="s">
        <v>733</v>
      </c>
      <c r="D223" s="342" t="s">
        <v>745</v>
      </c>
      <c r="E223" s="343">
        <v>0.23</v>
      </c>
      <c r="F223" s="343">
        <v>-0.23</v>
      </c>
      <c r="G223" s="343">
        <v>0</v>
      </c>
      <c r="H223" s="344"/>
      <c r="I223" s="354">
        <v>0.23</v>
      </c>
      <c r="J223" s="355">
        <v>571</v>
      </c>
      <c r="K223" s="356">
        <v>0.23</v>
      </c>
    </row>
    <row r="224" s="327" customFormat="1" ht="25" customHeight="1" spans="1:11">
      <c r="A224" s="339">
        <v>214</v>
      </c>
      <c r="B224" s="340" t="s">
        <v>563</v>
      </c>
      <c r="C224" s="341" t="s">
        <v>733</v>
      </c>
      <c r="D224" s="342" t="s">
        <v>746</v>
      </c>
      <c r="E224" s="343">
        <v>3</v>
      </c>
      <c r="F224" s="343">
        <v>-3</v>
      </c>
      <c r="G224" s="343">
        <v>0</v>
      </c>
      <c r="H224" s="344"/>
      <c r="I224" s="354"/>
      <c r="J224" s="355">
        <v>572</v>
      </c>
      <c r="K224" s="356"/>
    </row>
    <row r="225" s="327" customFormat="1" ht="25" customHeight="1" spans="1:11">
      <c r="A225" s="339">
        <v>215</v>
      </c>
      <c r="B225" s="340" t="s">
        <v>563</v>
      </c>
      <c r="C225" s="341" t="s">
        <v>733</v>
      </c>
      <c r="D225" s="342" t="s">
        <v>742</v>
      </c>
      <c r="E225" s="343">
        <v>37.2</v>
      </c>
      <c r="F225" s="343">
        <v>-37.2</v>
      </c>
      <c r="G225" s="343">
        <v>0</v>
      </c>
      <c r="H225" s="344"/>
      <c r="I225" s="354"/>
      <c r="J225" s="355">
        <v>573</v>
      </c>
      <c r="K225" s="356"/>
    </row>
    <row r="226" s="327" customFormat="1" ht="25" customHeight="1" spans="1:11">
      <c r="A226" s="339">
        <v>216</v>
      </c>
      <c r="B226" s="340" t="s">
        <v>563</v>
      </c>
      <c r="C226" s="341" t="s">
        <v>733</v>
      </c>
      <c r="D226" s="342" t="s">
        <v>747</v>
      </c>
      <c r="E226" s="343">
        <v>46.72</v>
      </c>
      <c r="F226" s="343">
        <v>-46.72</v>
      </c>
      <c r="G226" s="343">
        <v>0</v>
      </c>
      <c r="H226" s="344"/>
      <c r="I226" s="354">
        <v>46.72</v>
      </c>
      <c r="J226" s="355">
        <v>575</v>
      </c>
      <c r="K226" s="356">
        <v>46.72</v>
      </c>
    </row>
    <row r="227" s="327" customFormat="1" ht="25" customHeight="1" spans="1:11">
      <c r="A227" s="339">
        <v>217</v>
      </c>
      <c r="B227" s="340" t="s">
        <v>563</v>
      </c>
      <c r="C227" s="341" t="s">
        <v>733</v>
      </c>
      <c r="D227" s="342" t="s">
        <v>748</v>
      </c>
      <c r="E227" s="343">
        <v>50</v>
      </c>
      <c r="F227" s="343">
        <v>-50</v>
      </c>
      <c r="G227" s="343">
        <v>0</v>
      </c>
      <c r="H227" s="344"/>
      <c r="I227" s="354">
        <v>50</v>
      </c>
      <c r="J227" s="355">
        <v>577</v>
      </c>
      <c r="K227" s="356">
        <v>50</v>
      </c>
    </row>
    <row r="228" s="327" customFormat="1" ht="25" customHeight="1" spans="1:11">
      <c r="A228" s="339">
        <v>218</v>
      </c>
      <c r="B228" s="340" t="s">
        <v>563</v>
      </c>
      <c r="C228" s="341" t="s">
        <v>733</v>
      </c>
      <c r="D228" s="342" t="s">
        <v>749</v>
      </c>
      <c r="E228" s="343">
        <v>27</v>
      </c>
      <c r="F228" s="343">
        <v>-7</v>
      </c>
      <c r="G228" s="343">
        <v>20</v>
      </c>
      <c r="H228" s="344"/>
      <c r="I228" s="354">
        <v>7</v>
      </c>
      <c r="J228" s="355">
        <v>745</v>
      </c>
      <c r="K228" s="356"/>
    </row>
    <row r="229" s="327" customFormat="1" ht="25" customHeight="1" spans="1:11">
      <c r="A229" s="339">
        <v>219</v>
      </c>
      <c r="B229" s="340" t="s">
        <v>563</v>
      </c>
      <c r="C229" s="341" t="s">
        <v>733</v>
      </c>
      <c r="D229" s="342" t="s">
        <v>750</v>
      </c>
      <c r="E229" s="343">
        <v>10.64</v>
      </c>
      <c r="F229" s="343">
        <v>-0.003</v>
      </c>
      <c r="G229" s="343">
        <v>10.637</v>
      </c>
      <c r="H229" s="344"/>
      <c r="I229" s="354"/>
      <c r="J229" s="355">
        <v>746</v>
      </c>
      <c r="K229" s="356"/>
    </row>
    <row r="230" s="327" customFormat="1" ht="25" customHeight="1" spans="1:11">
      <c r="A230" s="339">
        <v>220</v>
      </c>
      <c r="B230" s="340" t="s">
        <v>563</v>
      </c>
      <c r="C230" s="341" t="s">
        <v>751</v>
      </c>
      <c r="D230" s="342" t="s">
        <v>752</v>
      </c>
      <c r="E230" s="343">
        <v>22</v>
      </c>
      <c r="F230" s="343">
        <v>-15.101767</v>
      </c>
      <c r="G230" s="343">
        <v>6.898233</v>
      </c>
      <c r="H230" s="344"/>
      <c r="I230" s="354"/>
      <c r="J230" s="355">
        <v>656</v>
      </c>
      <c r="K230" s="356"/>
    </row>
    <row r="231" s="327" customFormat="1" ht="25" customHeight="1" spans="1:11">
      <c r="A231" s="339">
        <v>221</v>
      </c>
      <c r="B231" s="340" t="s">
        <v>563</v>
      </c>
      <c r="C231" s="341" t="s">
        <v>751</v>
      </c>
      <c r="D231" s="342" t="s">
        <v>753</v>
      </c>
      <c r="E231" s="343">
        <v>98.82</v>
      </c>
      <c r="F231" s="343">
        <v>-18.329598</v>
      </c>
      <c r="G231" s="343">
        <v>80.490402</v>
      </c>
      <c r="H231" s="344"/>
      <c r="I231" s="354"/>
      <c r="J231" s="355">
        <v>657</v>
      </c>
      <c r="K231" s="356"/>
    </row>
    <row r="232" s="327" customFormat="1" ht="25" customHeight="1" spans="1:11">
      <c r="A232" s="339">
        <v>222</v>
      </c>
      <c r="B232" s="340" t="s">
        <v>563</v>
      </c>
      <c r="C232" s="341" t="s">
        <v>751</v>
      </c>
      <c r="D232" s="342" t="s">
        <v>754</v>
      </c>
      <c r="E232" s="343">
        <v>14.35</v>
      </c>
      <c r="F232" s="343">
        <v>-10.3372</v>
      </c>
      <c r="G232" s="343">
        <v>4.0128</v>
      </c>
      <c r="H232" s="344"/>
      <c r="I232" s="354">
        <v>10.34</v>
      </c>
      <c r="J232" s="355">
        <v>659</v>
      </c>
      <c r="K232" s="356">
        <v>5</v>
      </c>
    </row>
    <row r="233" s="327" customFormat="1" ht="25" customHeight="1" spans="1:11">
      <c r="A233" s="339">
        <v>223</v>
      </c>
      <c r="B233" s="340" t="s">
        <v>563</v>
      </c>
      <c r="C233" s="341" t="s">
        <v>751</v>
      </c>
      <c r="D233" s="342" t="s">
        <v>755</v>
      </c>
      <c r="E233" s="343">
        <v>19</v>
      </c>
      <c r="F233" s="343">
        <v>-12</v>
      </c>
      <c r="G233" s="343">
        <v>7</v>
      </c>
      <c r="H233" s="344"/>
      <c r="I233" s="354">
        <v>12</v>
      </c>
      <c r="J233" s="355">
        <v>660</v>
      </c>
      <c r="K233" s="356">
        <v>5</v>
      </c>
    </row>
    <row r="234" s="327" customFormat="1" ht="25" customHeight="1" spans="1:11">
      <c r="A234" s="339">
        <v>224</v>
      </c>
      <c r="B234" s="340" t="s">
        <v>563</v>
      </c>
      <c r="C234" s="341" t="s">
        <v>751</v>
      </c>
      <c r="D234" s="342" t="s">
        <v>756</v>
      </c>
      <c r="E234" s="343">
        <v>35</v>
      </c>
      <c r="F234" s="343">
        <v>-1.36</v>
      </c>
      <c r="G234" s="343">
        <v>33.64</v>
      </c>
      <c r="H234" s="344"/>
      <c r="I234" s="354">
        <v>1.36</v>
      </c>
      <c r="J234" s="355">
        <v>665</v>
      </c>
      <c r="K234" s="356"/>
    </row>
    <row r="235" s="327" customFormat="1" ht="25" customHeight="1" spans="1:11">
      <c r="A235" s="339">
        <v>225</v>
      </c>
      <c r="B235" s="340" t="s">
        <v>563</v>
      </c>
      <c r="C235" s="341" t="s">
        <v>751</v>
      </c>
      <c r="D235" s="342" t="s">
        <v>757</v>
      </c>
      <c r="E235" s="343">
        <v>60</v>
      </c>
      <c r="F235" s="343">
        <v>-60</v>
      </c>
      <c r="G235" s="343">
        <v>0</v>
      </c>
      <c r="H235" s="344"/>
      <c r="I235" s="354"/>
      <c r="J235" s="355">
        <v>739</v>
      </c>
      <c r="K235" s="356"/>
    </row>
    <row r="236" s="327" customFormat="1" ht="25" customHeight="1" spans="1:11">
      <c r="A236" s="339">
        <v>226</v>
      </c>
      <c r="B236" s="340" t="s">
        <v>563</v>
      </c>
      <c r="C236" s="341" t="s">
        <v>758</v>
      </c>
      <c r="D236" s="342" t="s">
        <v>759</v>
      </c>
      <c r="E236" s="343">
        <v>12</v>
      </c>
      <c r="F236" s="343">
        <v>-12</v>
      </c>
      <c r="G236" s="343">
        <v>0</v>
      </c>
      <c r="H236" s="344"/>
      <c r="I236" s="354"/>
      <c r="J236" s="355">
        <v>592</v>
      </c>
      <c r="K236" s="356"/>
    </row>
    <row r="237" s="327" customFormat="1" ht="25" customHeight="1" spans="1:11">
      <c r="A237" s="339">
        <v>227</v>
      </c>
      <c r="B237" s="340" t="s">
        <v>563</v>
      </c>
      <c r="C237" s="341" t="s">
        <v>758</v>
      </c>
      <c r="D237" s="342" t="s">
        <v>760</v>
      </c>
      <c r="E237" s="343">
        <v>2</v>
      </c>
      <c r="F237" s="343">
        <v>-2</v>
      </c>
      <c r="G237" s="343">
        <v>0</v>
      </c>
      <c r="H237" s="344"/>
      <c r="I237" s="354"/>
      <c r="J237" s="355">
        <v>717</v>
      </c>
      <c r="K237" s="356"/>
    </row>
    <row r="238" s="327" customFormat="1" ht="25" customHeight="1" spans="1:11">
      <c r="A238" s="339">
        <v>228</v>
      </c>
      <c r="B238" s="340" t="s">
        <v>563</v>
      </c>
      <c r="C238" s="341" t="s">
        <v>758</v>
      </c>
      <c r="D238" s="342" t="s">
        <v>761</v>
      </c>
      <c r="E238" s="343">
        <v>0.87</v>
      </c>
      <c r="F238" s="343">
        <v>-0.87</v>
      </c>
      <c r="G238" s="343">
        <v>0</v>
      </c>
      <c r="H238" s="344"/>
      <c r="I238" s="354">
        <v>0.87</v>
      </c>
      <c r="J238" s="355">
        <v>718</v>
      </c>
      <c r="K238" s="356">
        <v>0.87</v>
      </c>
    </row>
    <row r="239" s="327" customFormat="1" ht="25" customHeight="1" spans="1:11">
      <c r="A239" s="339">
        <v>229</v>
      </c>
      <c r="B239" s="340" t="s">
        <v>563</v>
      </c>
      <c r="C239" s="341" t="s">
        <v>758</v>
      </c>
      <c r="D239" s="342" t="s">
        <v>762</v>
      </c>
      <c r="E239" s="343">
        <v>25</v>
      </c>
      <c r="F239" s="343">
        <v>-21</v>
      </c>
      <c r="G239" s="343">
        <v>4</v>
      </c>
      <c r="H239" s="344"/>
      <c r="I239" s="354">
        <v>21</v>
      </c>
      <c r="J239" s="355">
        <v>1295</v>
      </c>
      <c r="K239" s="356">
        <v>21</v>
      </c>
    </row>
    <row r="240" s="327" customFormat="1" ht="25" customHeight="1" spans="1:11">
      <c r="A240" s="339">
        <v>230</v>
      </c>
      <c r="B240" s="340" t="s">
        <v>563</v>
      </c>
      <c r="C240" s="341" t="s">
        <v>758</v>
      </c>
      <c r="D240" s="342" t="s">
        <v>763</v>
      </c>
      <c r="E240" s="343">
        <v>25</v>
      </c>
      <c r="F240" s="343">
        <v>-15</v>
      </c>
      <c r="G240" s="343">
        <v>10</v>
      </c>
      <c r="H240" s="344"/>
      <c r="I240" s="354"/>
      <c r="J240" s="355">
        <v>1296</v>
      </c>
      <c r="K240" s="356"/>
    </row>
    <row r="241" s="327" customFormat="1" ht="25" customHeight="1" spans="1:11">
      <c r="A241" s="339">
        <v>231</v>
      </c>
      <c r="B241" s="340" t="s">
        <v>563</v>
      </c>
      <c r="C241" s="341" t="s">
        <v>758</v>
      </c>
      <c r="D241" s="342" t="s">
        <v>764</v>
      </c>
      <c r="E241" s="343">
        <v>165</v>
      </c>
      <c r="F241" s="343">
        <v>-131.02</v>
      </c>
      <c r="G241" s="343">
        <v>33.98</v>
      </c>
      <c r="H241" s="344"/>
      <c r="I241" s="354">
        <v>131.02</v>
      </c>
      <c r="J241" s="355">
        <v>1298</v>
      </c>
      <c r="K241" s="356">
        <v>50</v>
      </c>
    </row>
    <row r="242" s="327" customFormat="1" ht="25" customHeight="1" spans="1:11">
      <c r="A242" s="339">
        <v>232</v>
      </c>
      <c r="B242" s="340" t="s">
        <v>563</v>
      </c>
      <c r="C242" s="341" t="s">
        <v>758</v>
      </c>
      <c r="D242" s="342" t="s">
        <v>765</v>
      </c>
      <c r="E242" s="343">
        <v>13.69</v>
      </c>
      <c r="F242" s="343">
        <v>-13.69</v>
      </c>
      <c r="G242" s="343">
        <v>0</v>
      </c>
      <c r="H242" s="344"/>
      <c r="I242" s="354">
        <v>13.69</v>
      </c>
      <c r="J242" s="355">
        <v>1318</v>
      </c>
      <c r="K242" s="356"/>
    </row>
    <row r="243" s="327" customFormat="1" ht="25" customHeight="1" spans="1:11">
      <c r="A243" s="339">
        <v>233</v>
      </c>
      <c r="B243" s="340" t="s">
        <v>563</v>
      </c>
      <c r="C243" s="341" t="s">
        <v>758</v>
      </c>
      <c r="D243" s="342" t="s">
        <v>766</v>
      </c>
      <c r="E243" s="343">
        <v>36</v>
      </c>
      <c r="F243" s="343">
        <v>-9.15</v>
      </c>
      <c r="G243" s="343">
        <v>26.85</v>
      </c>
      <c r="H243" s="344"/>
      <c r="I243" s="354">
        <v>9.15</v>
      </c>
      <c r="J243" s="355">
        <v>1320</v>
      </c>
      <c r="K243" s="356">
        <v>9.15</v>
      </c>
    </row>
    <row r="244" s="327" customFormat="1" ht="25" customHeight="1" spans="1:11">
      <c r="A244" s="339">
        <v>234</v>
      </c>
      <c r="B244" s="340" t="s">
        <v>563</v>
      </c>
      <c r="C244" s="341" t="s">
        <v>758</v>
      </c>
      <c r="D244" s="342" t="s">
        <v>767</v>
      </c>
      <c r="E244" s="343">
        <v>30</v>
      </c>
      <c r="F244" s="343">
        <v>-17.02582</v>
      </c>
      <c r="G244" s="343">
        <v>12.97418</v>
      </c>
      <c r="H244" s="344"/>
      <c r="I244" s="354">
        <v>17.03</v>
      </c>
      <c r="J244" s="355">
        <v>1321</v>
      </c>
      <c r="K244" s="356">
        <v>5</v>
      </c>
    </row>
    <row r="245" s="327" customFormat="1" ht="25" customHeight="1" spans="1:11">
      <c r="A245" s="339">
        <v>235</v>
      </c>
      <c r="B245" s="340" t="s">
        <v>563</v>
      </c>
      <c r="C245" s="341" t="s">
        <v>758</v>
      </c>
      <c r="D245" s="342" t="s">
        <v>768</v>
      </c>
      <c r="E245" s="343">
        <v>55</v>
      </c>
      <c r="F245" s="343">
        <v>-30.1837</v>
      </c>
      <c r="G245" s="343">
        <v>24.8163</v>
      </c>
      <c r="H245" s="344"/>
      <c r="I245" s="354">
        <v>30.18</v>
      </c>
      <c r="J245" s="355">
        <v>1322</v>
      </c>
      <c r="K245" s="356"/>
    </row>
    <row r="246" s="327" customFormat="1" ht="25" customHeight="1" spans="1:11">
      <c r="A246" s="339">
        <v>236</v>
      </c>
      <c r="B246" s="340" t="s">
        <v>563</v>
      </c>
      <c r="C246" s="341" t="s">
        <v>769</v>
      </c>
      <c r="D246" s="342" t="s">
        <v>770</v>
      </c>
      <c r="E246" s="343">
        <v>15</v>
      </c>
      <c r="F246" s="343">
        <v>-15</v>
      </c>
      <c r="G246" s="343">
        <v>0</v>
      </c>
      <c r="H246" s="344"/>
      <c r="I246" s="354"/>
      <c r="J246" s="355">
        <v>611</v>
      </c>
      <c r="K246" s="356"/>
    </row>
    <row r="247" s="327" customFormat="1" ht="25" customHeight="1" spans="1:11">
      <c r="A247" s="339">
        <v>237</v>
      </c>
      <c r="B247" s="340" t="s">
        <v>563</v>
      </c>
      <c r="C247" s="341" t="s">
        <v>769</v>
      </c>
      <c r="D247" s="342" t="s">
        <v>771</v>
      </c>
      <c r="E247" s="343">
        <v>2.16</v>
      </c>
      <c r="F247" s="343">
        <v>-0.57</v>
      </c>
      <c r="G247" s="343">
        <v>1.59</v>
      </c>
      <c r="H247" s="344"/>
      <c r="I247" s="354"/>
      <c r="J247" s="355">
        <v>613</v>
      </c>
      <c r="K247" s="356"/>
    </row>
    <row r="248" s="327" customFormat="1" ht="25" customHeight="1" spans="1:11">
      <c r="A248" s="339">
        <v>238</v>
      </c>
      <c r="B248" s="340" t="s">
        <v>563</v>
      </c>
      <c r="C248" s="341" t="s">
        <v>769</v>
      </c>
      <c r="D248" s="342" t="s">
        <v>772</v>
      </c>
      <c r="E248" s="343">
        <v>7</v>
      </c>
      <c r="F248" s="343">
        <v>-7</v>
      </c>
      <c r="G248" s="343">
        <v>0</v>
      </c>
      <c r="H248" s="344"/>
      <c r="I248" s="354">
        <v>7</v>
      </c>
      <c r="J248" s="355">
        <v>616</v>
      </c>
      <c r="K248" s="356">
        <v>5</v>
      </c>
    </row>
    <row r="249" s="327" customFormat="1" ht="25" customHeight="1" spans="1:11">
      <c r="A249" s="339">
        <v>239</v>
      </c>
      <c r="B249" s="340" t="s">
        <v>563</v>
      </c>
      <c r="C249" s="341" t="s">
        <v>769</v>
      </c>
      <c r="D249" s="342" t="s">
        <v>773</v>
      </c>
      <c r="E249" s="343">
        <v>40</v>
      </c>
      <c r="F249" s="343">
        <v>-40</v>
      </c>
      <c r="G249" s="343">
        <v>0</v>
      </c>
      <c r="H249" s="344"/>
      <c r="I249" s="354"/>
      <c r="J249" s="355">
        <v>618</v>
      </c>
      <c r="K249" s="356"/>
    </row>
    <row r="250" s="327" customFormat="1" ht="25" customHeight="1" spans="1:11">
      <c r="A250" s="339">
        <v>240</v>
      </c>
      <c r="B250" s="340" t="s">
        <v>563</v>
      </c>
      <c r="C250" s="341" t="s">
        <v>769</v>
      </c>
      <c r="D250" s="342" t="s">
        <v>774</v>
      </c>
      <c r="E250" s="343">
        <v>3</v>
      </c>
      <c r="F250" s="343">
        <v>-1.4</v>
      </c>
      <c r="G250" s="343">
        <v>1.6</v>
      </c>
      <c r="H250" s="344"/>
      <c r="I250" s="354"/>
      <c r="J250" s="355">
        <v>747</v>
      </c>
      <c r="K250" s="356"/>
    </row>
    <row r="251" s="327" customFormat="1" ht="25" customHeight="1" spans="1:11">
      <c r="A251" s="339">
        <v>241</v>
      </c>
      <c r="B251" s="340" t="s">
        <v>563</v>
      </c>
      <c r="C251" s="341" t="s">
        <v>769</v>
      </c>
      <c r="D251" s="342" t="s">
        <v>775</v>
      </c>
      <c r="E251" s="343">
        <v>12</v>
      </c>
      <c r="F251" s="343">
        <v>-2.1644</v>
      </c>
      <c r="G251" s="343">
        <v>9.8356</v>
      </c>
      <c r="H251" s="344"/>
      <c r="I251" s="354">
        <v>2.16</v>
      </c>
      <c r="J251" s="355">
        <v>774</v>
      </c>
      <c r="K251" s="356">
        <v>2</v>
      </c>
    </row>
    <row r="252" s="327" customFormat="1" ht="25" customHeight="1" spans="1:11">
      <c r="A252" s="339">
        <v>242</v>
      </c>
      <c r="B252" s="340" t="s">
        <v>563</v>
      </c>
      <c r="C252" s="341" t="s">
        <v>769</v>
      </c>
      <c r="D252" s="342" t="s">
        <v>776</v>
      </c>
      <c r="E252" s="343">
        <v>35</v>
      </c>
      <c r="F252" s="343">
        <v>-9</v>
      </c>
      <c r="G252" s="343">
        <v>26</v>
      </c>
      <c r="H252" s="344"/>
      <c r="I252" s="354">
        <v>9</v>
      </c>
      <c r="J252" s="355">
        <v>775</v>
      </c>
      <c r="K252" s="356">
        <v>9</v>
      </c>
    </row>
    <row r="253" s="327" customFormat="1" ht="25" customHeight="1" spans="1:11">
      <c r="A253" s="339">
        <v>243</v>
      </c>
      <c r="B253" s="340" t="s">
        <v>563</v>
      </c>
      <c r="C253" s="341" t="s">
        <v>777</v>
      </c>
      <c r="D253" s="342" t="s">
        <v>590</v>
      </c>
      <c r="E253" s="343">
        <v>0.8</v>
      </c>
      <c r="F253" s="343">
        <v>-0.8</v>
      </c>
      <c r="G253" s="343">
        <v>0</v>
      </c>
      <c r="H253" s="344"/>
      <c r="I253" s="354"/>
      <c r="J253" s="355">
        <v>642</v>
      </c>
      <c r="K253" s="356"/>
    </row>
    <row r="254" s="327" customFormat="1" ht="25" customHeight="1" spans="1:11">
      <c r="A254" s="339">
        <v>244</v>
      </c>
      <c r="B254" s="340" t="s">
        <v>563</v>
      </c>
      <c r="C254" s="341" t="s">
        <v>777</v>
      </c>
      <c r="D254" s="342" t="s">
        <v>778</v>
      </c>
      <c r="E254" s="343">
        <v>36</v>
      </c>
      <c r="F254" s="343">
        <v>-27.66</v>
      </c>
      <c r="G254" s="343">
        <v>8.34</v>
      </c>
      <c r="H254" s="344"/>
      <c r="I254" s="354"/>
      <c r="J254" s="355">
        <v>643</v>
      </c>
      <c r="K254" s="356"/>
    </row>
    <row r="255" s="327" customFormat="1" ht="25" customHeight="1" spans="1:11">
      <c r="A255" s="339">
        <v>245</v>
      </c>
      <c r="B255" s="340" t="s">
        <v>563</v>
      </c>
      <c r="C255" s="341" t="s">
        <v>777</v>
      </c>
      <c r="D255" s="342" t="s">
        <v>779</v>
      </c>
      <c r="E255" s="343">
        <v>12.44</v>
      </c>
      <c r="F255" s="343">
        <v>-12.44</v>
      </c>
      <c r="G255" s="343">
        <v>0</v>
      </c>
      <c r="H255" s="344"/>
      <c r="I255" s="354"/>
      <c r="J255" s="355">
        <v>644</v>
      </c>
      <c r="K255" s="356"/>
    </row>
    <row r="256" s="327" customFormat="1" ht="25" customHeight="1" spans="1:11">
      <c r="A256" s="339">
        <v>246</v>
      </c>
      <c r="B256" s="340" t="s">
        <v>563</v>
      </c>
      <c r="C256" s="341" t="s">
        <v>777</v>
      </c>
      <c r="D256" s="342" t="s">
        <v>780</v>
      </c>
      <c r="E256" s="343">
        <v>0.5</v>
      </c>
      <c r="F256" s="343">
        <v>-0.5</v>
      </c>
      <c r="G256" s="343">
        <v>0</v>
      </c>
      <c r="H256" s="344"/>
      <c r="I256" s="354"/>
      <c r="J256" s="355">
        <v>645</v>
      </c>
      <c r="K256" s="356"/>
    </row>
    <row r="257" s="327" customFormat="1" ht="25" customHeight="1" spans="1:11">
      <c r="A257" s="339">
        <v>247</v>
      </c>
      <c r="B257" s="340" t="s">
        <v>521</v>
      </c>
      <c r="C257" s="341" t="s">
        <v>781</v>
      </c>
      <c r="D257" s="342" t="s">
        <v>782</v>
      </c>
      <c r="E257" s="343">
        <v>20</v>
      </c>
      <c r="F257" s="343">
        <v>-20</v>
      </c>
      <c r="G257" s="343">
        <v>0</v>
      </c>
      <c r="H257" s="344"/>
      <c r="I257" s="354"/>
      <c r="J257" s="355">
        <v>1954</v>
      </c>
      <c r="K257" s="356"/>
    </row>
    <row r="258" s="327" customFormat="1" ht="25" customHeight="1" spans="1:11">
      <c r="A258" s="339">
        <v>248</v>
      </c>
      <c r="B258" s="340" t="s">
        <v>521</v>
      </c>
      <c r="C258" s="341" t="s">
        <v>781</v>
      </c>
      <c r="D258" s="342" t="s">
        <v>783</v>
      </c>
      <c r="E258" s="343">
        <v>210</v>
      </c>
      <c r="F258" s="343">
        <v>-160.9296</v>
      </c>
      <c r="G258" s="343">
        <v>49.0704</v>
      </c>
      <c r="H258" s="344"/>
      <c r="I258" s="354"/>
      <c r="J258" s="355">
        <v>1956</v>
      </c>
      <c r="K258" s="356"/>
    </row>
    <row r="259" s="327" customFormat="1" ht="25" customHeight="1" spans="1:11">
      <c r="A259" s="339">
        <v>249</v>
      </c>
      <c r="B259" s="340" t="s">
        <v>521</v>
      </c>
      <c r="C259" s="341" t="s">
        <v>781</v>
      </c>
      <c r="D259" s="342" t="s">
        <v>784</v>
      </c>
      <c r="E259" s="343">
        <v>135</v>
      </c>
      <c r="F259" s="343">
        <v>-51.976968</v>
      </c>
      <c r="G259" s="343">
        <v>83.023032</v>
      </c>
      <c r="H259" s="344"/>
      <c r="I259" s="354"/>
      <c r="J259" s="355">
        <v>1961</v>
      </c>
      <c r="K259" s="356"/>
    </row>
    <row r="260" s="327" customFormat="1" ht="25" customHeight="1" spans="1:11">
      <c r="A260" s="339">
        <v>250</v>
      </c>
      <c r="B260" s="340" t="s">
        <v>521</v>
      </c>
      <c r="C260" s="341" t="s">
        <v>781</v>
      </c>
      <c r="D260" s="342" t="s">
        <v>785</v>
      </c>
      <c r="E260" s="343">
        <v>56.2</v>
      </c>
      <c r="F260" s="343">
        <v>-4.8076</v>
      </c>
      <c r="G260" s="343">
        <v>51.3924</v>
      </c>
      <c r="H260" s="344"/>
      <c r="I260" s="354"/>
      <c r="J260" s="355">
        <v>1966</v>
      </c>
      <c r="K260" s="356"/>
    </row>
    <row r="261" s="327" customFormat="1" ht="25" customHeight="1" spans="1:11">
      <c r="A261" s="339">
        <v>251</v>
      </c>
      <c r="B261" s="340" t="s">
        <v>521</v>
      </c>
      <c r="C261" s="341" t="s">
        <v>781</v>
      </c>
      <c r="D261" s="342" t="s">
        <v>786</v>
      </c>
      <c r="E261" s="343">
        <v>25.4</v>
      </c>
      <c r="F261" s="343">
        <v>-20.4</v>
      </c>
      <c r="G261" s="343">
        <v>5</v>
      </c>
      <c r="H261" s="344"/>
      <c r="I261" s="354">
        <v>20.4</v>
      </c>
      <c r="J261" s="355">
        <v>1967</v>
      </c>
      <c r="K261" s="357">
        <v>20.4</v>
      </c>
    </row>
    <row r="262" s="327" customFormat="1" ht="25" customHeight="1" spans="1:11">
      <c r="A262" s="339">
        <v>252</v>
      </c>
      <c r="B262" s="340" t="s">
        <v>521</v>
      </c>
      <c r="C262" s="341" t="s">
        <v>781</v>
      </c>
      <c r="D262" s="342" t="s">
        <v>787</v>
      </c>
      <c r="E262" s="343">
        <v>262</v>
      </c>
      <c r="F262" s="343">
        <v>-262</v>
      </c>
      <c r="G262" s="343">
        <v>0</v>
      </c>
      <c r="H262" s="344"/>
      <c r="I262" s="354">
        <v>20</v>
      </c>
      <c r="J262" s="355">
        <v>1971</v>
      </c>
      <c r="K262" s="357">
        <v>20</v>
      </c>
    </row>
    <row r="263" s="327" customFormat="1" ht="25" customHeight="1" spans="1:11">
      <c r="A263" s="339">
        <v>253</v>
      </c>
      <c r="B263" s="340" t="s">
        <v>521</v>
      </c>
      <c r="C263" s="341" t="s">
        <v>781</v>
      </c>
      <c r="D263" s="342" t="s">
        <v>788</v>
      </c>
      <c r="E263" s="343">
        <v>180</v>
      </c>
      <c r="F263" s="343">
        <v>-180</v>
      </c>
      <c r="G263" s="343">
        <v>0</v>
      </c>
      <c r="H263" s="344"/>
      <c r="I263" s="354">
        <v>180</v>
      </c>
      <c r="J263" s="355">
        <v>2109</v>
      </c>
      <c r="K263" s="356">
        <v>180</v>
      </c>
    </row>
    <row r="264" s="327" customFormat="1" ht="25" customHeight="1" spans="1:11">
      <c r="A264" s="339">
        <v>254</v>
      </c>
      <c r="B264" s="340" t="s">
        <v>521</v>
      </c>
      <c r="C264" s="341" t="s">
        <v>781</v>
      </c>
      <c r="D264" s="342" t="s">
        <v>789</v>
      </c>
      <c r="E264" s="343">
        <v>9</v>
      </c>
      <c r="F264" s="343">
        <v>-3.73</v>
      </c>
      <c r="G264" s="343">
        <v>5.27</v>
      </c>
      <c r="H264" s="344"/>
      <c r="I264" s="354"/>
      <c r="J264" s="355">
        <v>2110</v>
      </c>
      <c r="K264" s="356"/>
    </row>
    <row r="265" s="327" customFormat="1" ht="25" customHeight="1" spans="1:11">
      <c r="A265" s="339">
        <v>255</v>
      </c>
      <c r="B265" s="340" t="s">
        <v>521</v>
      </c>
      <c r="C265" s="341" t="s">
        <v>781</v>
      </c>
      <c r="D265" s="342" t="s">
        <v>790</v>
      </c>
      <c r="E265" s="343">
        <v>221.4</v>
      </c>
      <c r="F265" s="343">
        <v>-121.4</v>
      </c>
      <c r="G265" s="343">
        <v>100</v>
      </c>
      <c r="H265" s="344"/>
      <c r="I265" s="354">
        <v>121.4</v>
      </c>
      <c r="J265" s="355">
        <v>2113</v>
      </c>
      <c r="K265" s="356">
        <v>121.4</v>
      </c>
    </row>
    <row r="266" s="327" customFormat="1" ht="25" customHeight="1" spans="1:11">
      <c r="A266" s="339">
        <v>256</v>
      </c>
      <c r="B266" s="340" t="s">
        <v>521</v>
      </c>
      <c r="C266" s="341" t="s">
        <v>781</v>
      </c>
      <c r="D266" s="342" t="s">
        <v>791</v>
      </c>
      <c r="E266" s="343">
        <v>2</v>
      </c>
      <c r="F266" s="343">
        <v>-2</v>
      </c>
      <c r="G266" s="343">
        <v>0</v>
      </c>
      <c r="H266" s="344"/>
      <c r="I266" s="354"/>
      <c r="J266" s="355">
        <v>2543</v>
      </c>
      <c r="K266" s="356"/>
    </row>
    <row r="267" s="327" customFormat="1" ht="25" customHeight="1" spans="1:11">
      <c r="A267" s="339">
        <v>257</v>
      </c>
      <c r="B267" s="340" t="s">
        <v>563</v>
      </c>
      <c r="C267" s="341" t="s">
        <v>792</v>
      </c>
      <c r="D267" s="342" t="s">
        <v>793</v>
      </c>
      <c r="E267" s="343">
        <v>0.15</v>
      </c>
      <c r="F267" s="343">
        <v>-0.15</v>
      </c>
      <c r="G267" s="343">
        <v>0</v>
      </c>
      <c r="H267" s="344"/>
      <c r="I267" s="354"/>
      <c r="J267" s="355">
        <v>1313</v>
      </c>
      <c r="K267" s="356"/>
    </row>
    <row r="268" s="327" customFormat="1" ht="25" customHeight="1" spans="1:11">
      <c r="A268" s="339">
        <v>258</v>
      </c>
      <c r="B268" s="340" t="s">
        <v>563</v>
      </c>
      <c r="C268" s="341" t="s">
        <v>794</v>
      </c>
      <c r="D268" s="342" t="s">
        <v>795</v>
      </c>
      <c r="E268" s="343">
        <v>5</v>
      </c>
      <c r="F268" s="343">
        <v>-5</v>
      </c>
      <c r="G268" s="343">
        <v>0</v>
      </c>
      <c r="H268" s="344"/>
      <c r="I268" s="354">
        <v>5</v>
      </c>
      <c r="J268" s="355">
        <v>712</v>
      </c>
      <c r="K268" s="356">
        <v>5</v>
      </c>
    </row>
    <row r="269" s="327" customFormat="1" ht="25" customHeight="1" spans="1:11">
      <c r="A269" s="339">
        <v>259</v>
      </c>
      <c r="B269" s="340" t="s">
        <v>563</v>
      </c>
      <c r="C269" s="341" t="s">
        <v>794</v>
      </c>
      <c r="D269" s="342" t="s">
        <v>796</v>
      </c>
      <c r="E269" s="343">
        <v>30</v>
      </c>
      <c r="F269" s="343">
        <v>-30</v>
      </c>
      <c r="G269" s="343">
        <v>0</v>
      </c>
      <c r="H269" s="344"/>
      <c r="I269" s="354">
        <v>30</v>
      </c>
      <c r="J269" s="355">
        <v>713</v>
      </c>
      <c r="K269" s="356">
        <v>30</v>
      </c>
    </row>
    <row r="270" s="327" customFormat="1" ht="25" customHeight="1" spans="1:11">
      <c r="A270" s="339">
        <v>260</v>
      </c>
      <c r="B270" s="340" t="s">
        <v>563</v>
      </c>
      <c r="C270" s="341" t="s">
        <v>794</v>
      </c>
      <c r="D270" s="342" t="s">
        <v>590</v>
      </c>
      <c r="E270" s="343">
        <v>0.8</v>
      </c>
      <c r="F270" s="343">
        <v>-0.8</v>
      </c>
      <c r="G270" s="343">
        <v>0</v>
      </c>
      <c r="H270" s="344"/>
      <c r="I270" s="354"/>
      <c r="J270" s="355">
        <v>858</v>
      </c>
      <c r="K270" s="356"/>
    </row>
    <row r="271" s="327" customFormat="1" ht="25" customHeight="1" spans="1:11">
      <c r="A271" s="339">
        <v>261</v>
      </c>
      <c r="B271" s="340" t="s">
        <v>563</v>
      </c>
      <c r="C271" s="341" t="s">
        <v>794</v>
      </c>
      <c r="D271" s="342" t="s">
        <v>797</v>
      </c>
      <c r="E271" s="343">
        <v>2</v>
      </c>
      <c r="F271" s="343">
        <v>-2</v>
      </c>
      <c r="G271" s="343">
        <v>0</v>
      </c>
      <c r="H271" s="344"/>
      <c r="I271" s="354"/>
      <c r="J271" s="355">
        <v>868</v>
      </c>
      <c r="K271" s="356"/>
    </row>
    <row r="272" s="327" customFormat="1" ht="25" customHeight="1" spans="1:11">
      <c r="A272" s="339">
        <v>262</v>
      </c>
      <c r="B272" s="340" t="s">
        <v>563</v>
      </c>
      <c r="C272" s="341" t="s">
        <v>794</v>
      </c>
      <c r="D272" s="342" t="s">
        <v>798</v>
      </c>
      <c r="E272" s="343">
        <v>10</v>
      </c>
      <c r="F272" s="343">
        <v>-8</v>
      </c>
      <c r="G272" s="343">
        <v>2</v>
      </c>
      <c r="H272" s="344"/>
      <c r="I272" s="354">
        <v>8</v>
      </c>
      <c r="J272" s="355">
        <v>871</v>
      </c>
      <c r="K272" s="356">
        <v>5</v>
      </c>
    </row>
    <row r="273" s="327" customFormat="1" ht="25" customHeight="1" spans="1:11">
      <c r="A273" s="339">
        <v>263</v>
      </c>
      <c r="B273" s="340" t="s">
        <v>563</v>
      </c>
      <c r="C273" s="341" t="s">
        <v>794</v>
      </c>
      <c r="D273" s="342" t="s">
        <v>799</v>
      </c>
      <c r="E273" s="343">
        <v>18</v>
      </c>
      <c r="F273" s="343">
        <v>-18</v>
      </c>
      <c r="G273" s="343">
        <v>0</v>
      </c>
      <c r="H273" s="344"/>
      <c r="I273" s="354">
        <v>18</v>
      </c>
      <c r="J273" s="355">
        <v>879</v>
      </c>
      <c r="K273" s="356">
        <v>18</v>
      </c>
    </row>
    <row r="274" s="327" customFormat="1" ht="25" customHeight="1" spans="1:11">
      <c r="A274" s="339">
        <v>264</v>
      </c>
      <c r="B274" s="340" t="s">
        <v>563</v>
      </c>
      <c r="C274" s="341" t="s">
        <v>794</v>
      </c>
      <c r="D274" s="342" t="s">
        <v>800</v>
      </c>
      <c r="E274" s="343">
        <v>2</v>
      </c>
      <c r="F274" s="343">
        <v>-2</v>
      </c>
      <c r="G274" s="343">
        <v>0</v>
      </c>
      <c r="H274" s="344"/>
      <c r="I274" s="354"/>
      <c r="J274" s="355">
        <v>880</v>
      </c>
      <c r="K274" s="356"/>
    </row>
    <row r="275" s="327" customFormat="1" ht="25" customHeight="1" spans="1:11">
      <c r="A275" s="339">
        <v>265</v>
      </c>
      <c r="B275" s="340" t="s">
        <v>563</v>
      </c>
      <c r="C275" s="341" t="s">
        <v>794</v>
      </c>
      <c r="D275" s="342" t="s">
        <v>801</v>
      </c>
      <c r="E275" s="343">
        <v>25</v>
      </c>
      <c r="F275" s="343">
        <v>-25</v>
      </c>
      <c r="G275" s="343">
        <v>0</v>
      </c>
      <c r="H275" s="344"/>
      <c r="I275" s="354"/>
      <c r="J275" s="355">
        <v>881</v>
      </c>
      <c r="K275" s="356"/>
    </row>
    <row r="276" s="327" customFormat="1" ht="25" customHeight="1" spans="1:11">
      <c r="A276" s="339">
        <v>266</v>
      </c>
      <c r="B276" s="340" t="s">
        <v>563</v>
      </c>
      <c r="C276" s="341" t="s">
        <v>794</v>
      </c>
      <c r="D276" s="342" t="s">
        <v>802</v>
      </c>
      <c r="E276" s="343">
        <v>5</v>
      </c>
      <c r="F276" s="343">
        <v>-5</v>
      </c>
      <c r="G276" s="343">
        <v>0</v>
      </c>
      <c r="H276" s="344"/>
      <c r="I276" s="354">
        <v>5</v>
      </c>
      <c r="J276" s="355">
        <v>892</v>
      </c>
      <c r="K276" s="356">
        <v>5</v>
      </c>
    </row>
    <row r="277" s="327" customFormat="1" ht="25" customHeight="1" spans="1:11">
      <c r="A277" s="339">
        <v>267</v>
      </c>
      <c r="B277" s="340" t="s">
        <v>563</v>
      </c>
      <c r="C277" s="341" t="s">
        <v>794</v>
      </c>
      <c r="D277" s="342" t="s">
        <v>803</v>
      </c>
      <c r="E277" s="343">
        <v>15</v>
      </c>
      <c r="F277" s="343">
        <v>-6</v>
      </c>
      <c r="G277" s="343">
        <v>9</v>
      </c>
      <c r="H277" s="344"/>
      <c r="I277" s="354">
        <v>6</v>
      </c>
      <c r="J277" s="355">
        <v>778</v>
      </c>
      <c r="K277" s="356">
        <v>6</v>
      </c>
    </row>
    <row r="278" s="327" customFormat="1" ht="25" customHeight="1" spans="1:11">
      <c r="A278" s="339">
        <v>268</v>
      </c>
      <c r="B278" s="340" t="s">
        <v>516</v>
      </c>
      <c r="C278" s="341" t="s">
        <v>804</v>
      </c>
      <c r="D278" s="342" t="s">
        <v>805</v>
      </c>
      <c r="E278" s="343">
        <v>3630</v>
      </c>
      <c r="F278" s="343">
        <v>-2795.7</v>
      </c>
      <c r="G278" s="343">
        <v>834.3</v>
      </c>
      <c r="H278" s="344"/>
      <c r="I278" s="354">
        <v>2690</v>
      </c>
      <c r="J278" s="355">
        <v>254</v>
      </c>
      <c r="K278" s="356"/>
    </row>
    <row r="279" s="327" customFormat="1" ht="25" customHeight="1" spans="1:11">
      <c r="A279" s="339">
        <v>269</v>
      </c>
      <c r="B279" s="340" t="s">
        <v>653</v>
      </c>
      <c r="C279" s="341" t="s">
        <v>806</v>
      </c>
      <c r="D279" s="342" t="s">
        <v>807</v>
      </c>
      <c r="E279" s="343">
        <v>5</v>
      </c>
      <c r="F279" s="343">
        <v>-5</v>
      </c>
      <c r="G279" s="343">
        <v>0</v>
      </c>
      <c r="H279" s="344"/>
      <c r="I279" s="354"/>
      <c r="J279" s="355">
        <v>684</v>
      </c>
      <c r="K279" s="356"/>
    </row>
    <row r="280" s="327" customFormat="1" ht="25" customHeight="1" spans="1:11">
      <c r="A280" s="339">
        <v>270</v>
      </c>
      <c r="B280" s="340" t="s">
        <v>653</v>
      </c>
      <c r="C280" s="341" t="s">
        <v>806</v>
      </c>
      <c r="D280" s="342" t="s">
        <v>808</v>
      </c>
      <c r="E280" s="343">
        <v>29</v>
      </c>
      <c r="F280" s="343">
        <v>-1.22</v>
      </c>
      <c r="G280" s="343">
        <v>27.78</v>
      </c>
      <c r="H280" s="344"/>
      <c r="I280" s="354"/>
      <c r="J280" s="355">
        <v>687</v>
      </c>
      <c r="K280" s="356"/>
    </row>
    <row r="281" s="327" customFormat="1" ht="25" customHeight="1" spans="1:11">
      <c r="A281" s="339">
        <v>271</v>
      </c>
      <c r="B281" s="340" t="s">
        <v>653</v>
      </c>
      <c r="C281" s="341" t="s">
        <v>806</v>
      </c>
      <c r="D281" s="342" t="s">
        <v>809</v>
      </c>
      <c r="E281" s="343">
        <v>40</v>
      </c>
      <c r="F281" s="343">
        <v>-34.72</v>
      </c>
      <c r="G281" s="343">
        <v>5.28</v>
      </c>
      <c r="H281" s="344"/>
      <c r="I281" s="354"/>
      <c r="J281" s="355">
        <v>695</v>
      </c>
      <c r="K281" s="356"/>
    </row>
    <row r="282" s="327" customFormat="1" ht="25" customHeight="1" spans="1:11">
      <c r="A282" s="339">
        <v>272</v>
      </c>
      <c r="B282" s="340" t="s">
        <v>653</v>
      </c>
      <c r="C282" s="341" t="s">
        <v>806</v>
      </c>
      <c r="D282" s="342" t="s">
        <v>810</v>
      </c>
      <c r="E282" s="343">
        <v>14.4</v>
      </c>
      <c r="F282" s="343">
        <v>-7.2</v>
      </c>
      <c r="G282" s="343">
        <v>7.2</v>
      </c>
      <c r="H282" s="344"/>
      <c r="I282" s="354">
        <v>7.2</v>
      </c>
      <c r="J282" s="355">
        <v>698</v>
      </c>
      <c r="K282" s="356">
        <v>7.2</v>
      </c>
    </row>
    <row r="283" s="327" customFormat="1" ht="25" customHeight="1" spans="1:11">
      <c r="A283" s="339">
        <v>273</v>
      </c>
      <c r="B283" s="340" t="s">
        <v>653</v>
      </c>
      <c r="C283" s="341" t="s">
        <v>806</v>
      </c>
      <c r="D283" s="342" t="s">
        <v>809</v>
      </c>
      <c r="E283" s="343">
        <v>200</v>
      </c>
      <c r="F283" s="343">
        <v>-120.74</v>
      </c>
      <c r="G283" s="343">
        <v>79.26</v>
      </c>
      <c r="H283" s="344"/>
      <c r="I283" s="354"/>
      <c r="J283" s="355">
        <v>699</v>
      </c>
      <c r="K283" s="356"/>
    </row>
    <row r="284" s="327" customFormat="1" ht="25" customHeight="1" spans="1:11">
      <c r="A284" s="339">
        <v>274</v>
      </c>
      <c r="B284" s="340" t="s">
        <v>653</v>
      </c>
      <c r="C284" s="341" t="s">
        <v>806</v>
      </c>
      <c r="D284" s="342" t="s">
        <v>811</v>
      </c>
      <c r="E284" s="343">
        <v>24.85</v>
      </c>
      <c r="F284" s="343">
        <v>-24.85</v>
      </c>
      <c r="G284" s="343">
        <v>0</v>
      </c>
      <c r="H284" s="344"/>
      <c r="I284" s="354">
        <v>24.85</v>
      </c>
      <c r="J284" s="355">
        <v>764</v>
      </c>
      <c r="K284" s="356">
        <v>24.85</v>
      </c>
    </row>
    <row r="285" s="327" customFormat="1" ht="25" customHeight="1" spans="1:11">
      <c r="A285" s="339">
        <v>275</v>
      </c>
      <c r="B285" s="340" t="s">
        <v>563</v>
      </c>
      <c r="C285" s="341" t="s">
        <v>812</v>
      </c>
      <c r="D285" s="342" t="s">
        <v>813</v>
      </c>
      <c r="E285" s="343">
        <v>5</v>
      </c>
      <c r="F285" s="343">
        <v>-5</v>
      </c>
      <c r="G285" s="343">
        <v>0</v>
      </c>
      <c r="H285" s="344"/>
      <c r="I285" s="354">
        <v>5</v>
      </c>
      <c r="J285" s="355">
        <v>273</v>
      </c>
      <c r="K285" s="356">
        <v>5</v>
      </c>
    </row>
    <row r="286" s="327" customFormat="1" ht="25" customHeight="1" spans="1:11">
      <c r="A286" s="339">
        <v>276</v>
      </c>
      <c r="B286" s="340" t="s">
        <v>563</v>
      </c>
      <c r="C286" s="341" t="s">
        <v>812</v>
      </c>
      <c r="D286" s="342" t="s">
        <v>814</v>
      </c>
      <c r="E286" s="343">
        <v>99.38</v>
      </c>
      <c r="F286" s="343">
        <v>-63.18</v>
      </c>
      <c r="G286" s="343">
        <v>36.2</v>
      </c>
      <c r="H286" s="344"/>
      <c r="I286" s="354">
        <v>63.18</v>
      </c>
      <c r="J286" s="355">
        <v>275</v>
      </c>
      <c r="K286" s="356">
        <v>63.18</v>
      </c>
    </row>
    <row r="287" s="327" customFormat="1" ht="25" customHeight="1" spans="1:11">
      <c r="A287" s="339">
        <v>277</v>
      </c>
      <c r="B287" s="340" t="s">
        <v>563</v>
      </c>
      <c r="C287" s="341" t="s">
        <v>812</v>
      </c>
      <c r="D287" s="342" t="s">
        <v>815</v>
      </c>
      <c r="E287" s="343">
        <v>21.44</v>
      </c>
      <c r="F287" s="343">
        <v>-4.599333</v>
      </c>
      <c r="G287" s="343">
        <v>16.840667</v>
      </c>
      <c r="H287" s="344"/>
      <c r="I287" s="354"/>
      <c r="J287" s="355">
        <v>276</v>
      </c>
      <c r="K287" s="356"/>
    </row>
    <row r="288" s="327" customFormat="1" ht="25" customHeight="1" spans="1:11">
      <c r="A288" s="339">
        <v>278</v>
      </c>
      <c r="B288" s="340" t="s">
        <v>563</v>
      </c>
      <c r="C288" s="341" t="s">
        <v>812</v>
      </c>
      <c r="D288" s="342" t="s">
        <v>816</v>
      </c>
      <c r="E288" s="343">
        <v>2</v>
      </c>
      <c r="F288" s="343">
        <v>-2</v>
      </c>
      <c r="G288" s="343">
        <v>0</v>
      </c>
      <c r="H288" s="344"/>
      <c r="I288" s="354">
        <v>2</v>
      </c>
      <c r="J288" s="355">
        <v>278</v>
      </c>
      <c r="K288" s="356"/>
    </row>
    <row r="289" s="327" customFormat="1" ht="25" customHeight="1" spans="1:11">
      <c r="A289" s="339">
        <v>279</v>
      </c>
      <c r="B289" s="340" t="s">
        <v>572</v>
      </c>
      <c r="C289" s="341" t="s">
        <v>817</v>
      </c>
      <c r="D289" s="342" t="s">
        <v>818</v>
      </c>
      <c r="E289" s="343">
        <v>0</v>
      </c>
      <c r="F289" s="343">
        <v>0.4</v>
      </c>
      <c r="G289" s="343">
        <v>0.4</v>
      </c>
      <c r="H289" s="344"/>
      <c r="I289" s="354"/>
      <c r="J289" s="355">
        <v>201</v>
      </c>
      <c r="K289" s="356"/>
    </row>
    <row r="290" s="327" customFormat="1" ht="25" customHeight="1" spans="1:11">
      <c r="A290" s="339">
        <v>280</v>
      </c>
      <c r="B290" s="340" t="s">
        <v>521</v>
      </c>
      <c r="C290" s="341" t="s">
        <v>819</v>
      </c>
      <c r="D290" s="342" t="s">
        <v>820</v>
      </c>
      <c r="E290" s="343">
        <v>4</v>
      </c>
      <c r="F290" s="343">
        <v>-4</v>
      </c>
      <c r="G290" s="343">
        <v>0</v>
      </c>
      <c r="H290" s="344"/>
      <c r="I290" s="354"/>
      <c r="J290" s="355">
        <v>1341</v>
      </c>
      <c r="K290" s="356"/>
    </row>
    <row r="291" s="327" customFormat="1" ht="25" customHeight="1" spans="1:11">
      <c r="A291" s="339">
        <v>281</v>
      </c>
      <c r="B291" s="340" t="s">
        <v>521</v>
      </c>
      <c r="C291" s="341" t="s">
        <v>819</v>
      </c>
      <c r="D291" s="342" t="s">
        <v>821</v>
      </c>
      <c r="E291" s="343">
        <v>7</v>
      </c>
      <c r="F291" s="343">
        <v>-7</v>
      </c>
      <c r="G291" s="343">
        <v>0</v>
      </c>
      <c r="H291" s="344"/>
      <c r="I291" s="354"/>
      <c r="J291" s="355">
        <v>1342</v>
      </c>
      <c r="K291" s="356"/>
    </row>
    <row r="292" s="327" customFormat="1" ht="25" customHeight="1" spans="1:11">
      <c r="A292" s="339">
        <v>282</v>
      </c>
      <c r="B292" s="340" t="s">
        <v>521</v>
      </c>
      <c r="C292" s="341" t="s">
        <v>819</v>
      </c>
      <c r="D292" s="342" t="s">
        <v>822</v>
      </c>
      <c r="E292" s="343">
        <v>10</v>
      </c>
      <c r="F292" s="343">
        <v>-10</v>
      </c>
      <c r="G292" s="343">
        <v>0</v>
      </c>
      <c r="H292" s="344"/>
      <c r="I292" s="354"/>
      <c r="J292" s="355">
        <v>1343</v>
      </c>
      <c r="K292" s="356"/>
    </row>
    <row r="293" s="327" customFormat="1" ht="25" customHeight="1" spans="1:11">
      <c r="A293" s="339">
        <v>283</v>
      </c>
      <c r="B293" s="340" t="s">
        <v>521</v>
      </c>
      <c r="C293" s="341" t="s">
        <v>819</v>
      </c>
      <c r="D293" s="342" t="s">
        <v>823</v>
      </c>
      <c r="E293" s="343">
        <v>13</v>
      </c>
      <c r="F293" s="343">
        <v>-13</v>
      </c>
      <c r="G293" s="343">
        <v>0</v>
      </c>
      <c r="H293" s="344"/>
      <c r="I293" s="354"/>
      <c r="J293" s="355">
        <v>1344</v>
      </c>
      <c r="K293" s="356"/>
    </row>
    <row r="294" s="327" customFormat="1" ht="25" customHeight="1" spans="1:11">
      <c r="A294" s="339">
        <v>284</v>
      </c>
      <c r="B294" s="340" t="s">
        <v>521</v>
      </c>
      <c r="C294" s="341" t="s">
        <v>819</v>
      </c>
      <c r="D294" s="342" t="s">
        <v>824</v>
      </c>
      <c r="E294" s="343">
        <v>7</v>
      </c>
      <c r="F294" s="343">
        <v>-7</v>
      </c>
      <c r="G294" s="343">
        <v>0</v>
      </c>
      <c r="H294" s="344"/>
      <c r="I294" s="354"/>
      <c r="J294" s="355">
        <v>1346</v>
      </c>
      <c r="K294" s="356"/>
    </row>
    <row r="295" s="327" customFormat="1" ht="25" customHeight="1" spans="1:11">
      <c r="A295" s="339">
        <v>285</v>
      </c>
      <c r="B295" s="340" t="s">
        <v>521</v>
      </c>
      <c r="C295" s="341" t="s">
        <v>819</v>
      </c>
      <c r="D295" s="342" t="s">
        <v>825</v>
      </c>
      <c r="E295" s="343">
        <v>2</v>
      </c>
      <c r="F295" s="343">
        <v>-2</v>
      </c>
      <c r="G295" s="343">
        <v>0</v>
      </c>
      <c r="H295" s="344"/>
      <c r="I295" s="354"/>
      <c r="J295" s="355">
        <v>1383</v>
      </c>
      <c r="K295" s="356"/>
    </row>
    <row r="296" s="327" customFormat="1" ht="25" customHeight="1" spans="1:11">
      <c r="A296" s="339">
        <v>286</v>
      </c>
      <c r="B296" s="340" t="s">
        <v>521</v>
      </c>
      <c r="C296" s="341" t="s">
        <v>819</v>
      </c>
      <c r="D296" s="342" t="s">
        <v>826</v>
      </c>
      <c r="E296" s="343">
        <v>13</v>
      </c>
      <c r="F296" s="343">
        <v>-13</v>
      </c>
      <c r="G296" s="343">
        <v>0</v>
      </c>
      <c r="H296" s="344"/>
      <c r="I296" s="354"/>
      <c r="J296" s="355">
        <v>1384</v>
      </c>
      <c r="K296" s="356"/>
    </row>
    <row r="297" s="327" customFormat="1" ht="25" customHeight="1" spans="1:11">
      <c r="A297" s="339">
        <v>287</v>
      </c>
      <c r="B297" s="340" t="s">
        <v>521</v>
      </c>
      <c r="C297" s="341" t="s">
        <v>819</v>
      </c>
      <c r="D297" s="342" t="s">
        <v>827</v>
      </c>
      <c r="E297" s="343">
        <v>6</v>
      </c>
      <c r="F297" s="343">
        <v>-6</v>
      </c>
      <c r="G297" s="343">
        <v>0</v>
      </c>
      <c r="H297" s="344"/>
      <c r="I297" s="354"/>
      <c r="J297" s="355">
        <v>1387</v>
      </c>
      <c r="K297" s="356"/>
    </row>
    <row r="298" s="327" customFormat="1" ht="25" customHeight="1" spans="1:11">
      <c r="A298" s="339">
        <v>288</v>
      </c>
      <c r="B298" s="340" t="s">
        <v>521</v>
      </c>
      <c r="C298" s="341" t="s">
        <v>819</v>
      </c>
      <c r="D298" s="342" t="s">
        <v>828</v>
      </c>
      <c r="E298" s="343">
        <v>2</v>
      </c>
      <c r="F298" s="343">
        <v>-0.00752599999999992</v>
      </c>
      <c r="G298" s="343">
        <v>1.992474</v>
      </c>
      <c r="H298" s="344"/>
      <c r="I298" s="354"/>
      <c r="J298" s="355">
        <v>1930</v>
      </c>
      <c r="K298" s="356"/>
    </row>
    <row r="299" s="327" customFormat="1" ht="25" customHeight="1" spans="1:11">
      <c r="A299" s="339">
        <v>289</v>
      </c>
      <c r="B299" s="340" t="s">
        <v>521</v>
      </c>
      <c r="C299" s="341" t="s">
        <v>819</v>
      </c>
      <c r="D299" s="342" t="s">
        <v>829</v>
      </c>
      <c r="E299" s="343">
        <v>15</v>
      </c>
      <c r="F299" s="343">
        <v>-7.8547</v>
      </c>
      <c r="G299" s="343">
        <v>7.1453</v>
      </c>
      <c r="H299" s="344"/>
      <c r="I299" s="354"/>
      <c r="J299" s="355">
        <v>1931</v>
      </c>
      <c r="K299" s="356"/>
    </row>
    <row r="300" s="327" customFormat="1" ht="25" customHeight="1" spans="1:11">
      <c r="A300" s="339">
        <v>290</v>
      </c>
      <c r="B300" s="340" t="s">
        <v>521</v>
      </c>
      <c r="C300" s="341" t="s">
        <v>819</v>
      </c>
      <c r="D300" s="342" t="s">
        <v>830</v>
      </c>
      <c r="E300" s="343">
        <v>1073</v>
      </c>
      <c r="F300" s="343">
        <v>-78</v>
      </c>
      <c r="G300" s="343">
        <v>995</v>
      </c>
      <c r="H300" s="344"/>
      <c r="I300" s="354"/>
      <c r="J300" s="355">
        <v>2082</v>
      </c>
      <c r="K300" s="356"/>
    </row>
    <row r="301" s="327" customFormat="1" ht="25" customHeight="1" spans="1:11">
      <c r="A301" s="339">
        <v>291</v>
      </c>
      <c r="B301" s="340" t="s">
        <v>521</v>
      </c>
      <c r="C301" s="341" t="s">
        <v>819</v>
      </c>
      <c r="D301" s="342" t="s">
        <v>831</v>
      </c>
      <c r="E301" s="343">
        <v>1</v>
      </c>
      <c r="F301" s="343">
        <v>-1</v>
      </c>
      <c r="G301" s="343">
        <v>0</v>
      </c>
      <c r="H301" s="344"/>
      <c r="I301" s="354"/>
      <c r="J301" s="355">
        <v>2139</v>
      </c>
      <c r="K301" s="356"/>
    </row>
    <row r="302" s="327" customFormat="1" ht="25" customHeight="1" spans="1:11">
      <c r="A302" s="339">
        <v>292</v>
      </c>
      <c r="B302" s="340" t="s">
        <v>521</v>
      </c>
      <c r="C302" s="341" t="s">
        <v>819</v>
      </c>
      <c r="D302" s="342" t="s">
        <v>832</v>
      </c>
      <c r="E302" s="343">
        <v>36</v>
      </c>
      <c r="F302" s="343">
        <v>-21.8984</v>
      </c>
      <c r="G302" s="343">
        <v>14.1016</v>
      </c>
      <c r="H302" s="344"/>
      <c r="I302" s="354">
        <v>21.8984</v>
      </c>
      <c r="J302" s="355">
        <v>2141</v>
      </c>
      <c r="K302" s="357">
        <v>21.8984</v>
      </c>
    </row>
    <row r="303" s="327" customFormat="1" ht="25" customHeight="1" spans="1:11">
      <c r="A303" s="339">
        <v>293</v>
      </c>
      <c r="B303" s="340" t="s">
        <v>521</v>
      </c>
      <c r="C303" s="341" t="s">
        <v>819</v>
      </c>
      <c r="D303" s="342" t="s">
        <v>833</v>
      </c>
      <c r="E303" s="343">
        <v>27.98</v>
      </c>
      <c r="F303" s="343">
        <v>-27.98</v>
      </c>
      <c r="G303" s="343">
        <v>0</v>
      </c>
      <c r="H303" s="344"/>
      <c r="I303" s="354">
        <v>27.98</v>
      </c>
      <c r="J303" s="355">
        <v>2142</v>
      </c>
      <c r="K303" s="357">
        <v>27.98</v>
      </c>
    </row>
    <row r="304" s="327" customFormat="1" ht="25" customHeight="1" spans="1:11">
      <c r="A304" s="339">
        <v>294</v>
      </c>
      <c r="B304" s="340" t="s">
        <v>521</v>
      </c>
      <c r="C304" s="341" t="s">
        <v>819</v>
      </c>
      <c r="D304" s="342" t="s">
        <v>424</v>
      </c>
      <c r="E304" s="343">
        <v>9</v>
      </c>
      <c r="F304" s="343">
        <v>-9</v>
      </c>
      <c r="G304" s="343">
        <v>0</v>
      </c>
      <c r="H304" s="344"/>
      <c r="I304" s="354"/>
      <c r="J304" s="355">
        <v>3170</v>
      </c>
      <c r="K304" s="356"/>
    </row>
    <row r="305" s="327" customFormat="1" ht="25" customHeight="1" spans="1:11">
      <c r="A305" s="339">
        <v>295</v>
      </c>
      <c r="B305" s="340" t="s">
        <v>521</v>
      </c>
      <c r="C305" s="341" t="s">
        <v>819</v>
      </c>
      <c r="D305" s="342" t="s">
        <v>826</v>
      </c>
      <c r="E305" s="343">
        <v>3</v>
      </c>
      <c r="F305" s="343">
        <v>-3</v>
      </c>
      <c r="G305" s="343">
        <v>0</v>
      </c>
      <c r="H305" s="344"/>
      <c r="I305" s="354"/>
      <c r="J305" s="355">
        <v>1347</v>
      </c>
      <c r="K305" s="356"/>
    </row>
    <row r="306" s="327" customFormat="1" ht="25" customHeight="1" spans="1:11">
      <c r="A306" s="339">
        <v>296</v>
      </c>
      <c r="B306" s="340" t="s">
        <v>521</v>
      </c>
      <c r="C306" s="341" t="s">
        <v>819</v>
      </c>
      <c r="D306" s="342" t="s">
        <v>824</v>
      </c>
      <c r="E306" s="343">
        <v>4</v>
      </c>
      <c r="F306" s="343">
        <v>-4</v>
      </c>
      <c r="G306" s="343">
        <v>0</v>
      </c>
      <c r="H306" s="344"/>
      <c r="I306" s="354"/>
      <c r="J306" s="355">
        <v>1348</v>
      </c>
      <c r="K306" s="356"/>
    </row>
    <row r="307" s="327" customFormat="1" ht="25" customHeight="1" spans="1:11">
      <c r="A307" s="339">
        <v>297</v>
      </c>
      <c r="B307" s="340" t="s">
        <v>521</v>
      </c>
      <c r="C307" s="341" t="s">
        <v>819</v>
      </c>
      <c r="D307" s="342" t="s">
        <v>823</v>
      </c>
      <c r="E307" s="343">
        <v>3</v>
      </c>
      <c r="F307" s="343">
        <v>-3</v>
      </c>
      <c r="G307" s="343">
        <v>0</v>
      </c>
      <c r="H307" s="344"/>
      <c r="I307" s="354"/>
      <c r="J307" s="355">
        <v>1349</v>
      </c>
      <c r="K307" s="356"/>
    </row>
    <row r="308" s="327" customFormat="1" ht="25" customHeight="1" spans="1:11">
      <c r="A308" s="339">
        <v>298</v>
      </c>
      <c r="B308" s="340" t="s">
        <v>521</v>
      </c>
      <c r="C308" s="341" t="s">
        <v>819</v>
      </c>
      <c r="D308" s="342" t="s">
        <v>822</v>
      </c>
      <c r="E308" s="343">
        <v>10</v>
      </c>
      <c r="F308" s="343">
        <v>-10</v>
      </c>
      <c r="G308" s="343">
        <v>0</v>
      </c>
      <c r="H308" s="344"/>
      <c r="I308" s="354"/>
      <c r="J308" s="355">
        <v>1350</v>
      </c>
      <c r="K308" s="356"/>
    </row>
    <row r="309" s="327" customFormat="1" ht="25" customHeight="1" spans="1:11">
      <c r="A309" s="339">
        <v>299</v>
      </c>
      <c r="B309" s="340" t="s">
        <v>598</v>
      </c>
      <c r="C309" s="341" t="s">
        <v>819</v>
      </c>
      <c r="D309" s="342" t="s">
        <v>834</v>
      </c>
      <c r="E309" s="343">
        <v>2.7</v>
      </c>
      <c r="F309" s="343">
        <v>-0.042</v>
      </c>
      <c r="G309" s="343">
        <v>2.658</v>
      </c>
      <c r="H309" s="344"/>
      <c r="I309" s="354"/>
      <c r="J309" s="355">
        <v>1380</v>
      </c>
      <c r="K309" s="356"/>
    </row>
    <row r="310" s="327" customFormat="1" ht="25" customHeight="1" spans="1:11">
      <c r="A310" s="339">
        <v>300</v>
      </c>
      <c r="B310" s="340" t="s">
        <v>598</v>
      </c>
      <c r="C310" s="341" t="s">
        <v>819</v>
      </c>
      <c r="D310" s="342" t="s">
        <v>835</v>
      </c>
      <c r="E310" s="343">
        <v>30</v>
      </c>
      <c r="F310" s="343">
        <v>-17.136</v>
      </c>
      <c r="G310" s="343">
        <v>12.864</v>
      </c>
      <c r="H310" s="344"/>
      <c r="I310" s="354"/>
      <c r="J310" s="355">
        <v>1381</v>
      </c>
      <c r="K310" s="356"/>
    </row>
    <row r="311" s="327" customFormat="1" ht="25" customHeight="1" spans="1:11">
      <c r="A311" s="339">
        <v>301</v>
      </c>
      <c r="B311" s="340" t="s">
        <v>521</v>
      </c>
      <c r="C311" s="341" t="s">
        <v>836</v>
      </c>
      <c r="D311" s="342" t="s">
        <v>837</v>
      </c>
      <c r="E311" s="343">
        <v>3</v>
      </c>
      <c r="F311" s="343">
        <v>-3</v>
      </c>
      <c r="G311" s="343">
        <v>0</v>
      </c>
      <c r="H311" s="344"/>
      <c r="I311" s="354"/>
      <c r="J311" s="355">
        <v>1358</v>
      </c>
      <c r="K311" s="356"/>
    </row>
    <row r="312" s="327" customFormat="1" ht="25" customHeight="1" spans="1:11">
      <c r="A312" s="339">
        <v>302</v>
      </c>
      <c r="B312" s="340" t="s">
        <v>521</v>
      </c>
      <c r="C312" s="341" t="s">
        <v>838</v>
      </c>
      <c r="D312" s="342" t="s">
        <v>839</v>
      </c>
      <c r="E312" s="343">
        <v>4</v>
      </c>
      <c r="F312" s="343">
        <v>-4</v>
      </c>
      <c r="G312" s="343">
        <v>0</v>
      </c>
      <c r="H312" s="344"/>
      <c r="I312" s="354"/>
      <c r="J312" s="355">
        <v>1399</v>
      </c>
      <c r="K312" s="356"/>
    </row>
    <row r="313" s="327" customFormat="1" ht="25" customHeight="1" spans="1:11">
      <c r="A313" s="339">
        <v>303</v>
      </c>
      <c r="B313" s="340" t="s">
        <v>563</v>
      </c>
      <c r="C313" s="341" t="s">
        <v>840</v>
      </c>
      <c r="D313" s="342" t="s">
        <v>841</v>
      </c>
      <c r="E313" s="343">
        <v>3</v>
      </c>
      <c r="F313" s="343">
        <v>-1</v>
      </c>
      <c r="G313" s="343">
        <v>2</v>
      </c>
      <c r="H313" s="344"/>
      <c r="I313" s="354"/>
      <c r="J313" s="355">
        <v>18</v>
      </c>
      <c r="K313" s="356"/>
    </row>
    <row r="314" s="327" customFormat="1" ht="25" customHeight="1" spans="1:11">
      <c r="A314" s="339">
        <v>304</v>
      </c>
      <c r="B314" s="340" t="s">
        <v>563</v>
      </c>
      <c r="C314" s="341" t="s">
        <v>840</v>
      </c>
      <c r="D314" s="342" t="s">
        <v>842</v>
      </c>
      <c r="E314" s="343">
        <v>3</v>
      </c>
      <c r="F314" s="343">
        <v>-3</v>
      </c>
      <c r="G314" s="343">
        <v>0</v>
      </c>
      <c r="H314" s="344"/>
      <c r="I314" s="354"/>
      <c r="J314" s="355">
        <v>19</v>
      </c>
      <c r="K314" s="356"/>
    </row>
    <row r="315" s="327" customFormat="1" ht="25" customHeight="1" spans="1:11">
      <c r="A315" s="339">
        <v>305</v>
      </c>
      <c r="B315" s="340" t="s">
        <v>563</v>
      </c>
      <c r="C315" s="341" t="s">
        <v>840</v>
      </c>
      <c r="D315" s="342" t="s">
        <v>843</v>
      </c>
      <c r="E315" s="343">
        <v>4</v>
      </c>
      <c r="F315" s="343">
        <v>-4</v>
      </c>
      <c r="G315" s="343">
        <v>0</v>
      </c>
      <c r="H315" s="344"/>
      <c r="I315" s="354"/>
      <c r="J315" s="355">
        <v>21</v>
      </c>
      <c r="K315" s="356"/>
    </row>
    <row r="316" s="327" customFormat="1" ht="25" customHeight="1" spans="1:11">
      <c r="A316" s="339">
        <v>306</v>
      </c>
      <c r="B316" s="340" t="s">
        <v>563</v>
      </c>
      <c r="C316" s="341" t="s">
        <v>840</v>
      </c>
      <c r="D316" s="342" t="s">
        <v>844</v>
      </c>
      <c r="E316" s="343">
        <v>10</v>
      </c>
      <c r="F316" s="343">
        <v>-10</v>
      </c>
      <c r="G316" s="343">
        <v>0</v>
      </c>
      <c r="H316" s="344"/>
      <c r="I316" s="354"/>
      <c r="J316" s="355">
        <v>23</v>
      </c>
      <c r="K316" s="356"/>
    </row>
    <row r="317" s="327" customFormat="1" ht="25" customHeight="1" spans="1:11">
      <c r="A317" s="339">
        <v>307</v>
      </c>
      <c r="B317" s="340" t="s">
        <v>563</v>
      </c>
      <c r="C317" s="341" t="s">
        <v>840</v>
      </c>
      <c r="D317" s="342" t="s">
        <v>845</v>
      </c>
      <c r="E317" s="343">
        <v>17.4</v>
      </c>
      <c r="F317" s="343">
        <v>-0.2</v>
      </c>
      <c r="G317" s="343">
        <v>17.2</v>
      </c>
      <c r="H317" s="344"/>
      <c r="I317" s="354"/>
      <c r="J317" s="355">
        <v>25</v>
      </c>
      <c r="K317" s="356"/>
    </row>
    <row r="318" s="327" customFormat="1" ht="25" customHeight="1" spans="1:11">
      <c r="A318" s="339">
        <v>308</v>
      </c>
      <c r="B318" s="340" t="s">
        <v>563</v>
      </c>
      <c r="C318" s="341" t="s">
        <v>840</v>
      </c>
      <c r="D318" s="342" t="s">
        <v>846</v>
      </c>
      <c r="E318" s="343">
        <v>21</v>
      </c>
      <c r="F318" s="343">
        <v>-21</v>
      </c>
      <c r="G318" s="343">
        <v>0</v>
      </c>
      <c r="H318" s="344"/>
      <c r="I318" s="354">
        <v>21</v>
      </c>
      <c r="J318" s="355">
        <v>37</v>
      </c>
      <c r="K318" s="356">
        <v>21</v>
      </c>
    </row>
    <row r="319" s="327" customFormat="1" ht="25" customHeight="1" spans="1:11">
      <c r="A319" s="339">
        <v>309</v>
      </c>
      <c r="B319" s="340" t="s">
        <v>563</v>
      </c>
      <c r="C319" s="341" t="s">
        <v>840</v>
      </c>
      <c r="D319" s="342" t="s">
        <v>847</v>
      </c>
      <c r="E319" s="343">
        <v>20</v>
      </c>
      <c r="F319" s="343">
        <v>-20</v>
      </c>
      <c r="G319" s="343">
        <v>0</v>
      </c>
      <c r="H319" s="344"/>
      <c r="I319" s="354"/>
      <c r="J319" s="355">
        <v>38</v>
      </c>
      <c r="K319" s="356"/>
    </row>
    <row r="320" s="327" customFormat="1" ht="25" customHeight="1" spans="1:11">
      <c r="A320" s="339">
        <v>310</v>
      </c>
      <c r="B320" s="340" t="s">
        <v>540</v>
      </c>
      <c r="C320" s="341" t="s">
        <v>848</v>
      </c>
      <c r="D320" s="342" t="s">
        <v>849</v>
      </c>
      <c r="E320" s="343">
        <v>4</v>
      </c>
      <c r="F320" s="343">
        <v>-0.9712</v>
      </c>
      <c r="G320" s="343">
        <v>3.0288</v>
      </c>
      <c r="H320" s="344"/>
      <c r="I320" s="354"/>
      <c r="J320" s="355">
        <v>705</v>
      </c>
      <c r="K320" s="356"/>
    </row>
    <row r="321" s="327" customFormat="1" ht="25" customHeight="1" spans="1:11">
      <c r="A321" s="339">
        <v>311</v>
      </c>
      <c r="B321" s="340" t="s">
        <v>540</v>
      </c>
      <c r="C321" s="341" t="s">
        <v>848</v>
      </c>
      <c r="D321" s="342" t="s">
        <v>850</v>
      </c>
      <c r="E321" s="343">
        <v>50</v>
      </c>
      <c r="F321" s="343">
        <v>-50</v>
      </c>
      <c r="G321" s="343">
        <v>0</v>
      </c>
      <c r="H321" s="344"/>
      <c r="I321" s="354"/>
      <c r="J321" s="355">
        <v>3031</v>
      </c>
      <c r="K321" s="356"/>
    </row>
    <row r="322" s="327" customFormat="1" ht="25" customHeight="1" spans="1:11">
      <c r="A322" s="339">
        <v>312</v>
      </c>
      <c r="B322" s="340" t="s">
        <v>540</v>
      </c>
      <c r="C322" s="341" t="s">
        <v>848</v>
      </c>
      <c r="D322" s="342" t="s">
        <v>851</v>
      </c>
      <c r="E322" s="343">
        <v>62</v>
      </c>
      <c r="F322" s="343">
        <v>-4.596807</v>
      </c>
      <c r="G322" s="343">
        <v>57.403193</v>
      </c>
      <c r="H322" s="344"/>
      <c r="I322" s="354"/>
      <c r="J322" s="355">
        <v>3043</v>
      </c>
      <c r="K322" s="356"/>
    </row>
    <row r="323" s="327" customFormat="1" ht="25" customHeight="1" spans="1:11">
      <c r="A323" s="339">
        <v>313</v>
      </c>
      <c r="B323" s="340" t="s">
        <v>540</v>
      </c>
      <c r="C323" s="341" t="s">
        <v>848</v>
      </c>
      <c r="D323" s="342" t="s">
        <v>852</v>
      </c>
      <c r="E323" s="343">
        <v>60</v>
      </c>
      <c r="F323" s="343">
        <v>-44.63556</v>
      </c>
      <c r="G323" s="343">
        <v>15.36444</v>
      </c>
      <c r="H323" s="344"/>
      <c r="I323" s="354"/>
      <c r="J323" s="355">
        <v>3044</v>
      </c>
      <c r="K323" s="356"/>
    </row>
    <row r="324" s="327" customFormat="1" ht="25" customHeight="1" spans="1:11">
      <c r="A324" s="339">
        <v>314</v>
      </c>
      <c r="B324" s="340" t="s">
        <v>540</v>
      </c>
      <c r="C324" s="341" t="s">
        <v>848</v>
      </c>
      <c r="D324" s="342" t="s">
        <v>853</v>
      </c>
      <c r="E324" s="343">
        <v>20</v>
      </c>
      <c r="F324" s="343">
        <v>-20</v>
      </c>
      <c r="G324" s="343">
        <v>0</v>
      </c>
      <c r="H324" s="344"/>
      <c r="I324" s="354"/>
      <c r="J324" s="355">
        <v>3063</v>
      </c>
      <c r="K324" s="356"/>
    </row>
    <row r="325" s="327" customFormat="1" ht="25" customHeight="1" spans="1:11">
      <c r="A325" s="339">
        <v>315</v>
      </c>
      <c r="B325" s="340" t="s">
        <v>540</v>
      </c>
      <c r="C325" s="341" t="s">
        <v>848</v>
      </c>
      <c r="D325" s="342" t="s">
        <v>854</v>
      </c>
      <c r="E325" s="343">
        <v>2</v>
      </c>
      <c r="F325" s="343">
        <v>-2</v>
      </c>
      <c r="G325" s="343">
        <v>0</v>
      </c>
      <c r="H325" s="344"/>
      <c r="I325" s="354"/>
      <c r="J325" s="355">
        <v>3064</v>
      </c>
      <c r="K325" s="356"/>
    </row>
    <row r="326" s="327" customFormat="1" ht="25" customHeight="1" spans="1:11">
      <c r="A326" s="339">
        <v>316</v>
      </c>
      <c r="B326" s="340" t="s">
        <v>540</v>
      </c>
      <c r="C326" s="341" t="s">
        <v>848</v>
      </c>
      <c r="D326" s="342" t="s">
        <v>855</v>
      </c>
      <c r="E326" s="343">
        <v>3.0736</v>
      </c>
      <c r="F326" s="343">
        <v>-3.0736</v>
      </c>
      <c r="G326" s="343">
        <v>0</v>
      </c>
      <c r="H326" s="344"/>
      <c r="I326" s="354">
        <v>3.0736</v>
      </c>
      <c r="J326" s="355">
        <v>3079</v>
      </c>
      <c r="K326" s="356">
        <v>3.07</v>
      </c>
    </row>
    <row r="327" s="327" customFormat="1" ht="25" customHeight="1" spans="1:11">
      <c r="A327" s="339">
        <v>317</v>
      </c>
      <c r="B327" s="340" t="s">
        <v>540</v>
      </c>
      <c r="C327" s="341" t="s">
        <v>848</v>
      </c>
      <c r="D327" s="342" t="s">
        <v>856</v>
      </c>
      <c r="E327" s="343">
        <v>5.5</v>
      </c>
      <c r="F327" s="343">
        <v>-5.5</v>
      </c>
      <c r="G327" s="343">
        <v>0</v>
      </c>
      <c r="H327" s="344"/>
      <c r="I327" s="354">
        <v>5.5</v>
      </c>
      <c r="J327" s="355">
        <v>3080</v>
      </c>
      <c r="K327" s="356"/>
    </row>
    <row r="328" s="327" customFormat="1" ht="25" customHeight="1" spans="1:11">
      <c r="A328" s="339">
        <v>318</v>
      </c>
      <c r="B328" s="340" t="s">
        <v>540</v>
      </c>
      <c r="C328" s="341" t="s">
        <v>848</v>
      </c>
      <c r="D328" s="342" t="s">
        <v>857</v>
      </c>
      <c r="E328" s="343">
        <v>5.73</v>
      </c>
      <c r="F328" s="343">
        <v>-5.73</v>
      </c>
      <c r="G328" s="343">
        <v>0</v>
      </c>
      <c r="H328" s="344"/>
      <c r="I328" s="354">
        <v>5.73</v>
      </c>
      <c r="J328" s="355">
        <v>3081</v>
      </c>
      <c r="K328" s="356"/>
    </row>
    <row r="329" s="327" customFormat="1" ht="25" customHeight="1" spans="1:11">
      <c r="A329" s="339">
        <v>319</v>
      </c>
      <c r="B329" s="340" t="s">
        <v>540</v>
      </c>
      <c r="C329" s="341" t="s">
        <v>848</v>
      </c>
      <c r="D329" s="342" t="s">
        <v>858</v>
      </c>
      <c r="E329" s="343">
        <v>10</v>
      </c>
      <c r="F329" s="343">
        <v>-10</v>
      </c>
      <c r="G329" s="343">
        <v>0</v>
      </c>
      <c r="H329" s="344"/>
      <c r="I329" s="354">
        <v>10</v>
      </c>
      <c r="J329" s="355">
        <v>3082</v>
      </c>
      <c r="K329" s="356"/>
    </row>
    <row r="330" s="327" customFormat="1" ht="25" customHeight="1" spans="1:11">
      <c r="A330" s="339">
        <v>320</v>
      </c>
      <c r="B330" s="340" t="s">
        <v>540</v>
      </c>
      <c r="C330" s="341" t="s">
        <v>848</v>
      </c>
      <c r="D330" s="342" t="s">
        <v>859</v>
      </c>
      <c r="E330" s="343">
        <v>10</v>
      </c>
      <c r="F330" s="343">
        <v>-10</v>
      </c>
      <c r="G330" s="343">
        <v>0</v>
      </c>
      <c r="H330" s="344"/>
      <c r="I330" s="354">
        <v>10</v>
      </c>
      <c r="J330" s="355">
        <v>3083</v>
      </c>
      <c r="K330" s="356"/>
    </row>
    <row r="331" s="327" customFormat="1" ht="25" customHeight="1" spans="1:11">
      <c r="A331" s="339">
        <v>321</v>
      </c>
      <c r="B331" s="340" t="s">
        <v>540</v>
      </c>
      <c r="C331" s="341" t="s">
        <v>848</v>
      </c>
      <c r="D331" s="342" t="s">
        <v>860</v>
      </c>
      <c r="E331" s="343">
        <v>10</v>
      </c>
      <c r="F331" s="343">
        <v>-10</v>
      </c>
      <c r="G331" s="343">
        <v>0</v>
      </c>
      <c r="H331" s="344"/>
      <c r="I331" s="354">
        <v>10</v>
      </c>
      <c r="J331" s="355">
        <v>3084</v>
      </c>
      <c r="K331" s="356"/>
    </row>
    <row r="332" s="327" customFormat="1" ht="25" customHeight="1" spans="1:11">
      <c r="A332" s="339">
        <v>322</v>
      </c>
      <c r="B332" s="340" t="s">
        <v>540</v>
      </c>
      <c r="C332" s="341" t="s">
        <v>848</v>
      </c>
      <c r="D332" s="342" t="s">
        <v>861</v>
      </c>
      <c r="E332" s="343">
        <v>10.6</v>
      </c>
      <c r="F332" s="343">
        <v>-10.6</v>
      </c>
      <c r="G332" s="343">
        <v>0</v>
      </c>
      <c r="H332" s="344"/>
      <c r="I332" s="354">
        <v>10.6</v>
      </c>
      <c r="J332" s="355">
        <v>3085</v>
      </c>
      <c r="K332" s="356"/>
    </row>
    <row r="333" s="327" customFormat="1" ht="25" customHeight="1" spans="1:11">
      <c r="A333" s="339">
        <v>323</v>
      </c>
      <c r="B333" s="340" t="s">
        <v>540</v>
      </c>
      <c r="C333" s="341" t="s">
        <v>848</v>
      </c>
      <c r="D333" s="342" t="s">
        <v>862</v>
      </c>
      <c r="E333" s="343">
        <v>21</v>
      </c>
      <c r="F333" s="343">
        <v>-21</v>
      </c>
      <c r="G333" s="343">
        <v>0</v>
      </c>
      <c r="H333" s="344"/>
      <c r="I333" s="354">
        <v>21</v>
      </c>
      <c r="J333" s="355">
        <v>3086</v>
      </c>
      <c r="K333" s="356"/>
    </row>
    <row r="334" s="327" customFormat="1" ht="25" customHeight="1" spans="1:11">
      <c r="A334" s="339">
        <v>324</v>
      </c>
      <c r="B334" s="340" t="s">
        <v>540</v>
      </c>
      <c r="C334" s="341" t="s">
        <v>848</v>
      </c>
      <c r="D334" s="342" t="s">
        <v>863</v>
      </c>
      <c r="E334" s="343">
        <v>52.4</v>
      </c>
      <c r="F334" s="343">
        <v>-52.4</v>
      </c>
      <c r="G334" s="343">
        <v>0</v>
      </c>
      <c r="H334" s="344"/>
      <c r="I334" s="354">
        <v>52.4</v>
      </c>
      <c r="J334" s="355">
        <v>3087</v>
      </c>
      <c r="K334" s="356"/>
    </row>
    <row r="335" s="327" customFormat="1" ht="25" customHeight="1" spans="1:11">
      <c r="A335" s="339">
        <v>325</v>
      </c>
      <c r="B335" s="340" t="s">
        <v>540</v>
      </c>
      <c r="C335" s="341" t="s">
        <v>848</v>
      </c>
      <c r="D335" s="342" t="s">
        <v>864</v>
      </c>
      <c r="E335" s="343">
        <v>5.2</v>
      </c>
      <c r="F335" s="343">
        <v>-5.2</v>
      </c>
      <c r="G335" s="343">
        <v>0</v>
      </c>
      <c r="H335" s="344"/>
      <c r="I335" s="354">
        <v>5.2</v>
      </c>
      <c r="J335" s="355">
        <v>3088</v>
      </c>
      <c r="K335" s="356"/>
    </row>
    <row r="336" s="327" customFormat="1" ht="25" customHeight="1" spans="1:11">
      <c r="A336" s="339">
        <v>326</v>
      </c>
      <c r="B336" s="340" t="s">
        <v>540</v>
      </c>
      <c r="C336" s="341" t="s">
        <v>848</v>
      </c>
      <c r="D336" s="342" t="s">
        <v>865</v>
      </c>
      <c r="E336" s="343">
        <v>80</v>
      </c>
      <c r="F336" s="343">
        <v>-80</v>
      </c>
      <c r="G336" s="343">
        <v>0</v>
      </c>
      <c r="H336" s="344"/>
      <c r="I336" s="354">
        <v>80</v>
      </c>
      <c r="J336" s="355">
        <v>3089</v>
      </c>
      <c r="K336" s="356">
        <v>35</v>
      </c>
    </row>
    <row r="337" s="327" customFormat="1" ht="25" customHeight="1" spans="1:11">
      <c r="A337" s="339">
        <v>327</v>
      </c>
      <c r="B337" s="340" t="s">
        <v>540</v>
      </c>
      <c r="C337" s="341" t="s">
        <v>848</v>
      </c>
      <c r="D337" s="342" t="s">
        <v>866</v>
      </c>
      <c r="E337" s="343">
        <v>240.78</v>
      </c>
      <c r="F337" s="343">
        <v>-240.78</v>
      </c>
      <c r="G337" s="343">
        <v>0</v>
      </c>
      <c r="H337" s="344"/>
      <c r="I337" s="354">
        <v>240.78</v>
      </c>
      <c r="J337" s="355">
        <v>3116</v>
      </c>
      <c r="K337" s="356">
        <v>240.78</v>
      </c>
    </row>
    <row r="338" s="327" customFormat="1" ht="25" customHeight="1" spans="1:11">
      <c r="A338" s="339">
        <v>328</v>
      </c>
      <c r="B338" s="340" t="s">
        <v>540</v>
      </c>
      <c r="C338" s="341" t="s">
        <v>848</v>
      </c>
      <c r="D338" s="342" t="s">
        <v>867</v>
      </c>
      <c r="E338" s="343">
        <v>10.335</v>
      </c>
      <c r="F338" s="343">
        <v>-10.335</v>
      </c>
      <c r="G338" s="343">
        <v>0</v>
      </c>
      <c r="H338" s="344"/>
      <c r="I338" s="354">
        <v>10.335</v>
      </c>
      <c r="J338" s="355">
        <v>3117</v>
      </c>
      <c r="K338" s="356"/>
    </row>
    <row r="339" s="327" customFormat="1" ht="25" customHeight="1" spans="1:11">
      <c r="A339" s="339">
        <v>329</v>
      </c>
      <c r="B339" s="340" t="s">
        <v>540</v>
      </c>
      <c r="C339" s="341" t="s">
        <v>848</v>
      </c>
      <c r="D339" s="342" t="s">
        <v>868</v>
      </c>
      <c r="E339" s="343">
        <v>187.5</v>
      </c>
      <c r="F339" s="343">
        <v>-187.5</v>
      </c>
      <c r="G339" s="343">
        <v>0</v>
      </c>
      <c r="H339" s="344"/>
      <c r="I339" s="354">
        <v>187.5</v>
      </c>
      <c r="J339" s="355">
        <v>3118</v>
      </c>
      <c r="K339" s="356"/>
    </row>
    <row r="340" s="327" customFormat="1" ht="25" customHeight="1" spans="1:11">
      <c r="A340" s="339">
        <v>330</v>
      </c>
      <c r="B340" s="340" t="s">
        <v>540</v>
      </c>
      <c r="C340" s="341" t="s">
        <v>848</v>
      </c>
      <c r="D340" s="342" t="s">
        <v>869</v>
      </c>
      <c r="E340" s="343">
        <v>60</v>
      </c>
      <c r="F340" s="343">
        <v>-60</v>
      </c>
      <c r="G340" s="343">
        <v>0</v>
      </c>
      <c r="H340" s="344"/>
      <c r="I340" s="354">
        <v>60</v>
      </c>
      <c r="J340" s="355">
        <v>3120</v>
      </c>
      <c r="K340" s="356"/>
    </row>
    <row r="341" s="327" customFormat="1" ht="25" customHeight="1" spans="1:11">
      <c r="A341" s="339">
        <v>331</v>
      </c>
      <c r="B341" s="340" t="s">
        <v>540</v>
      </c>
      <c r="C341" s="341" t="s">
        <v>848</v>
      </c>
      <c r="D341" s="342" t="s">
        <v>870</v>
      </c>
      <c r="E341" s="343">
        <v>20</v>
      </c>
      <c r="F341" s="343">
        <v>-20</v>
      </c>
      <c r="G341" s="343">
        <v>0</v>
      </c>
      <c r="H341" s="344"/>
      <c r="I341" s="354">
        <v>20</v>
      </c>
      <c r="J341" s="355">
        <v>3124</v>
      </c>
      <c r="K341" s="356"/>
    </row>
    <row r="342" s="327" customFormat="1" ht="25" customHeight="1" spans="1:11">
      <c r="A342" s="339">
        <v>332</v>
      </c>
      <c r="B342" s="340" t="s">
        <v>540</v>
      </c>
      <c r="C342" s="341" t="s">
        <v>848</v>
      </c>
      <c r="D342" s="342" t="s">
        <v>871</v>
      </c>
      <c r="E342" s="343">
        <v>7.56</v>
      </c>
      <c r="F342" s="343">
        <v>-7.56</v>
      </c>
      <c r="G342" s="343">
        <v>0</v>
      </c>
      <c r="H342" s="344"/>
      <c r="I342" s="354">
        <v>7.56</v>
      </c>
      <c r="J342" s="355">
        <v>3126</v>
      </c>
      <c r="K342" s="356"/>
    </row>
    <row r="343" s="327" customFormat="1" ht="25" customHeight="1" spans="1:11">
      <c r="A343" s="339">
        <v>333</v>
      </c>
      <c r="B343" s="340" t="s">
        <v>540</v>
      </c>
      <c r="C343" s="341" t="s">
        <v>848</v>
      </c>
      <c r="D343" s="342" t="s">
        <v>872</v>
      </c>
      <c r="E343" s="343">
        <v>26.4</v>
      </c>
      <c r="F343" s="343">
        <v>-26.4</v>
      </c>
      <c r="G343" s="343">
        <v>0</v>
      </c>
      <c r="H343" s="344"/>
      <c r="I343" s="354">
        <v>26.4</v>
      </c>
      <c r="J343" s="355">
        <v>3127</v>
      </c>
      <c r="K343" s="356"/>
    </row>
    <row r="344" s="327" customFormat="1" ht="25" customHeight="1" spans="1:11">
      <c r="A344" s="339">
        <v>334</v>
      </c>
      <c r="B344" s="340" t="s">
        <v>540</v>
      </c>
      <c r="C344" s="341" t="s">
        <v>848</v>
      </c>
      <c r="D344" s="342" t="s">
        <v>873</v>
      </c>
      <c r="E344" s="343">
        <v>22.824</v>
      </c>
      <c r="F344" s="343">
        <v>-22.824</v>
      </c>
      <c r="G344" s="343">
        <v>0</v>
      </c>
      <c r="H344" s="344"/>
      <c r="I344" s="354">
        <v>22.824</v>
      </c>
      <c r="J344" s="355">
        <v>3130</v>
      </c>
      <c r="K344" s="356"/>
    </row>
    <row r="345" s="327" customFormat="1" ht="25" customHeight="1" spans="1:11">
      <c r="A345" s="339">
        <v>335</v>
      </c>
      <c r="B345" s="340" t="s">
        <v>540</v>
      </c>
      <c r="C345" s="341" t="s">
        <v>848</v>
      </c>
      <c r="D345" s="342" t="s">
        <v>874</v>
      </c>
      <c r="E345" s="343">
        <v>14.7</v>
      </c>
      <c r="F345" s="343">
        <v>-14.7</v>
      </c>
      <c r="G345" s="343">
        <v>0</v>
      </c>
      <c r="H345" s="344"/>
      <c r="I345" s="354">
        <v>14.7</v>
      </c>
      <c r="J345" s="355">
        <v>3132</v>
      </c>
      <c r="K345" s="356"/>
    </row>
    <row r="346" s="327" customFormat="1" ht="25" customHeight="1" spans="1:11">
      <c r="A346" s="339">
        <v>336</v>
      </c>
      <c r="B346" s="340" t="s">
        <v>540</v>
      </c>
      <c r="C346" s="341" t="s">
        <v>848</v>
      </c>
      <c r="D346" s="342" t="s">
        <v>875</v>
      </c>
      <c r="E346" s="343">
        <v>2</v>
      </c>
      <c r="F346" s="343">
        <v>-1.080707</v>
      </c>
      <c r="G346" s="343">
        <v>0.919293</v>
      </c>
      <c r="H346" s="344"/>
      <c r="I346" s="354"/>
      <c r="J346" s="355">
        <v>3154</v>
      </c>
      <c r="K346" s="356"/>
    </row>
    <row r="347" s="327" customFormat="1" ht="25" customHeight="1" spans="1:11">
      <c r="A347" s="339">
        <v>337</v>
      </c>
      <c r="B347" s="340" t="s">
        <v>540</v>
      </c>
      <c r="C347" s="341" t="s">
        <v>848</v>
      </c>
      <c r="D347" s="342" t="s">
        <v>876</v>
      </c>
      <c r="E347" s="343">
        <v>5.2</v>
      </c>
      <c r="F347" s="343">
        <v>-5.2</v>
      </c>
      <c r="G347" s="343">
        <v>0</v>
      </c>
      <c r="H347" s="344"/>
      <c r="I347" s="354">
        <v>5.2</v>
      </c>
      <c r="J347" s="355">
        <v>3155</v>
      </c>
      <c r="K347" s="356">
        <v>5.2</v>
      </c>
    </row>
    <row r="348" s="327" customFormat="1" ht="25" customHeight="1" spans="1:11">
      <c r="A348" s="339">
        <v>338</v>
      </c>
      <c r="B348" s="340" t="s">
        <v>540</v>
      </c>
      <c r="C348" s="341" t="s">
        <v>848</v>
      </c>
      <c r="D348" s="342" t="s">
        <v>877</v>
      </c>
      <c r="E348" s="343">
        <v>3</v>
      </c>
      <c r="F348" s="343">
        <v>-3</v>
      </c>
      <c r="G348" s="343">
        <v>0</v>
      </c>
      <c r="H348" s="344"/>
      <c r="I348" s="354"/>
      <c r="J348" s="355">
        <v>3156</v>
      </c>
      <c r="K348" s="356"/>
    </row>
    <row r="349" s="327" customFormat="1" ht="25" customHeight="1" spans="1:11">
      <c r="A349" s="339">
        <v>339</v>
      </c>
      <c r="B349" s="340" t="s">
        <v>540</v>
      </c>
      <c r="C349" s="341" t="s">
        <v>848</v>
      </c>
      <c r="D349" s="342" t="s">
        <v>878</v>
      </c>
      <c r="E349" s="343">
        <v>9</v>
      </c>
      <c r="F349" s="343">
        <v>-8.928</v>
      </c>
      <c r="G349" s="343">
        <v>0.072</v>
      </c>
      <c r="H349" s="344"/>
      <c r="I349" s="354"/>
      <c r="J349" s="355">
        <v>3167</v>
      </c>
      <c r="K349" s="356"/>
    </row>
    <row r="350" s="327" customFormat="1" ht="25" customHeight="1" spans="1:11">
      <c r="A350" s="339">
        <v>340</v>
      </c>
      <c r="B350" s="340" t="s">
        <v>540</v>
      </c>
      <c r="C350" s="341" t="s">
        <v>848</v>
      </c>
      <c r="D350" s="342" t="s">
        <v>879</v>
      </c>
      <c r="E350" s="343">
        <v>10.8</v>
      </c>
      <c r="F350" s="343">
        <v>-10.8</v>
      </c>
      <c r="G350" s="343">
        <v>0</v>
      </c>
      <c r="H350" s="344"/>
      <c r="I350" s="354"/>
      <c r="J350" s="355">
        <v>3168</v>
      </c>
      <c r="K350" s="356"/>
    </row>
    <row r="351" s="327" customFormat="1" ht="25" customHeight="1" spans="1:11">
      <c r="A351" s="339">
        <v>341</v>
      </c>
      <c r="B351" s="340" t="s">
        <v>540</v>
      </c>
      <c r="C351" s="341" t="s">
        <v>848</v>
      </c>
      <c r="D351" s="342" t="s">
        <v>880</v>
      </c>
      <c r="E351" s="343">
        <v>37.29</v>
      </c>
      <c r="F351" s="343">
        <v>-15.539859</v>
      </c>
      <c r="G351" s="343">
        <v>21.750141</v>
      </c>
      <c r="H351" s="344"/>
      <c r="I351" s="354"/>
      <c r="J351" s="355">
        <v>3173</v>
      </c>
      <c r="K351" s="356"/>
    </row>
    <row r="352" s="327" customFormat="1" ht="25" customHeight="1" spans="1:11">
      <c r="A352" s="339">
        <v>342</v>
      </c>
      <c r="B352" s="340" t="s">
        <v>540</v>
      </c>
      <c r="C352" s="341" t="s">
        <v>848</v>
      </c>
      <c r="D352" s="342" t="s">
        <v>881</v>
      </c>
      <c r="E352" s="343">
        <v>8</v>
      </c>
      <c r="F352" s="343">
        <v>-3</v>
      </c>
      <c r="G352" s="343">
        <v>5</v>
      </c>
      <c r="H352" s="344"/>
      <c r="I352" s="354">
        <v>3</v>
      </c>
      <c r="J352" s="355">
        <v>3175</v>
      </c>
      <c r="K352" s="356"/>
    </row>
    <row r="353" s="327" customFormat="1" ht="25" customHeight="1" spans="1:11">
      <c r="A353" s="339">
        <v>343</v>
      </c>
      <c r="B353" s="340" t="s">
        <v>540</v>
      </c>
      <c r="C353" s="341" t="s">
        <v>848</v>
      </c>
      <c r="D353" s="342" t="s">
        <v>882</v>
      </c>
      <c r="E353" s="343">
        <v>18</v>
      </c>
      <c r="F353" s="343">
        <v>-1.3917</v>
      </c>
      <c r="G353" s="343">
        <v>16.6083</v>
      </c>
      <c r="H353" s="344"/>
      <c r="I353" s="354">
        <v>1.3917</v>
      </c>
      <c r="J353" s="355">
        <v>3177</v>
      </c>
      <c r="K353" s="356"/>
    </row>
    <row r="354" s="327" customFormat="1" ht="25" customHeight="1" spans="1:11">
      <c r="A354" s="339">
        <v>344</v>
      </c>
      <c r="B354" s="340" t="s">
        <v>540</v>
      </c>
      <c r="C354" s="341" t="s">
        <v>848</v>
      </c>
      <c r="D354" s="342" t="s">
        <v>883</v>
      </c>
      <c r="E354" s="343">
        <v>310</v>
      </c>
      <c r="F354" s="343">
        <v>-306.85</v>
      </c>
      <c r="G354" s="343">
        <v>3.15</v>
      </c>
      <c r="H354" s="344"/>
      <c r="I354" s="354">
        <v>306.85</v>
      </c>
      <c r="J354" s="355">
        <v>3196</v>
      </c>
      <c r="K354" s="356"/>
    </row>
    <row r="355" s="327" customFormat="1" ht="25" customHeight="1" spans="1:11">
      <c r="A355" s="339">
        <v>345</v>
      </c>
      <c r="B355" s="340" t="s">
        <v>540</v>
      </c>
      <c r="C355" s="341" t="s">
        <v>848</v>
      </c>
      <c r="D355" s="342" t="s">
        <v>884</v>
      </c>
      <c r="E355" s="343">
        <v>52</v>
      </c>
      <c r="F355" s="343">
        <v>-52</v>
      </c>
      <c r="G355" s="343">
        <v>0</v>
      </c>
      <c r="H355" s="344"/>
      <c r="I355" s="354">
        <v>52</v>
      </c>
      <c r="J355" s="355">
        <v>3197</v>
      </c>
      <c r="K355" s="356"/>
    </row>
    <row r="356" s="327" customFormat="1" ht="25" customHeight="1" spans="1:11">
      <c r="A356" s="339">
        <v>346</v>
      </c>
      <c r="B356" s="340" t="s">
        <v>540</v>
      </c>
      <c r="C356" s="341" t="s">
        <v>848</v>
      </c>
      <c r="D356" s="342" t="s">
        <v>885</v>
      </c>
      <c r="E356" s="343">
        <v>32</v>
      </c>
      <c r="F356" s="343">
        <v>-32</v>
      </c>
      <c r="G356" s="343">
        <v>0</v>
      </c>
      <c r="H356" s="344"/>
      <c r="I356" s="354">
        <v>32</v>
      </c>
      <c r="J356" s="355">
        <v>3198</v>
      </c>
      <c r="K356" s="356"/>
    </row>
    <row r="357" s="327" customFormat="1" ht="25" customHeight="1" spans="1:11">
      <c r="A357" s="339">
        <v>347</v>
      </c>
      <c r="B357" s="340" t="s">
        <v>540</v>
      </c>
      <c r="C357" s="341" t="s">
        <v>848</v>
      </c>
      <c r="D357" s="342" t="s">
        <v>886</v>
      </c>
      <c r="E357" s="343">
        <v>300</v>
      </c>
      <c r="F357" s="343">
        <v>-300</v>
      </c>
      <c r="G357" s="343">
        <v>0</v>
      </c>
      <c r="H357" s="344"/>
      <c r="I357" s="354">
        <v>300</v>
      </c>
      <c r="J357" s="355">
        <v>3199</v>
      </c>
      <c r="K357" s="356">
        <v>100</v>
      </c>
    </row>
    <row r="358" s="327" customFormat="1" ht="25" customHeight="1" spans="1:11">
      <c r="A358" s="339">
        <v>348</v>
      </c>
      <c r="B358" s="340" t="s">
        <v>540</v>
      </c>
      <c r="C358" s="341" t="s">
        <v>848</v>
      </c>
      <c r="D358" s="342" t="s">
        <v>887</v>
      </c>
      <c r="E358" s="343">
        <v>50</v>
      </c>
      <c r="F358" s="343">
        <v>-50</v>
      </c>
      <c r="G358" s="343">
        <v>0</v>
      </c>
      <c r="H358" s="344"/>
      <c r="I358" s="354">
        <v>50</v>
      </c>
      <c r="J358" s="355">
        <v>3200</v>
      </c>
      <c r="K358" s="356"/>
    </row>
    <row r="359" s="327" customFormat="1" ht="25" customHeight="1" spans="1:11">
      <c r="A359" s="339">
        <v>349</v>
      </c>
      <c r="B359" s="340" t="s">
        <v>540</v>
      </c>
      <c r="C359" s="341" t="s">
        <v>848</v>
      </c>
      <c r="D359" s="342" t="s">
        <v>888</v>
      </c>
      <c r="E359" s="343">
        <v>40</v>
      </c>
      <c r="F359" s="343">
        <v>-40</v>
      </c>
      <c r="G359" s="343">
        <v>0</v>
      </c>
      <c r="H359" s="344"/>
      <c r="I359" s="354">
        <v>40</v>
      </c>
      <c r="J359" s="355">
        <v>3201</v>
      </c>
      <c r="K359" s="356"/>
    </row>
    <row r="360" s="327" customFormat="1" ht="25" customHeight="1" spans="1:11">
      <c r="A360" s="339">
        <v>350</v>
      </c>
      <c r="B360" s="340" t="s">
        <v>540</v>
      </c>
      <c r="C360" s="341" t="s">
        <v>848</v>
      </c>
      <c r="D360" s="342" t="s">
        <v>889</v>
      </c>
      <c r="E360" s="343">
        <v>200</v>
      </c>
      <c r="F360" s="343">
        <v>-200</v>
      </c>
      <c r="G360" s="343">
        <v>0</v>
      </c>
      <c r="H360" s="344"/>
      <c r="I360" s="354">
        <v>200</v>
      </c>
      <c r="J360" s="355">
        <v>3202</v>
      </c>
      <c r="K360" s="356"/>
    </row>
    <row r="361" s="327" customFormat="1" ht="25" customHeight="1" spans="1:11">
      <c r="A361" s="339">
        <v>351</v>
      </c>
      <c r="B361" s="340" t="s">
        <v>540</v>
      </c>
      <c r="C361" s="341" t="s">
        <v>848</v>
      </c>
      <c r="D361" s="342" t="s">
        <v>890</v>
      </c>
      <c r="E361" s="343">
        <v>0.324357</v>
      </c>
      <c r="F361" s="343">
        <v>-0.324357</v>
      </c>
      <c r="G361" s="343">
        <v>0</v>
      </c>
      <c r="H361" s="344"/>
      <c r="I361" s="354">
        <v>0.324357</v>
      </c>
      <c r="J361" s="355">
        <v>3205</v>
      </c>
      <c r="K361" s="356"/>
    </row>
    <row r="362" s="327" customFormat="1" ht="25" customHeight="1" spans="1:11">
      <c r="A362" s="339">
        <v>352</v>
      </c>
      <c r="B362" s="340" t="s">
        <v>540</v>
      </c>
      <c r="C362" s="341" t="s">
        <v>848</v>
      </c>
      <c r="D362" s="342" t="s">
        <v>891</v>
      </c>
      <c r="E362" s="343">
        <v>2</v>
      </c>
      <c r="F362" s="343">
        <v>-2</v>
      </c>
      <c r="G362" s="343">
        <v>0</v>
      </c>
      <c r="H362" s="344"/>
      <c r="I362" s="354">
        <v>2</v>
      </c>
      <c r="J362" s="355">
        <v>3253</v>
      </c>
      <c r="K362" s="356"/>
    </row>
    <row r="363" s="327" customFormat="1" ht="25" customHeight="1" spans="1:11">
      <c r="A363" s="339">
        <v>353</v>
      </c>
      <c r="B363" s="340" t="s">
        <v>540</v>
      </c>
      <c r="C363" s="341" t="s">
        <v>892</v>
      </c>
      <c r="D363" s="342" t="s">
        <v>893</v>
      </c>
      <c r="E363" s="343">
        <v>2</v>
      </c>
      <c r="F363" s="343">
        <v>-2</v>
      </c>
      <c r="G363" s="343">
        <v>0</v>
      </c>
      <c r="H363" s="344"/>
      <c r="I363" s="354"/>
      <c r="J363" s="355">
        <v>3007</v>
      </c>
      <c r="K363" s="356"/>
    </row>
    <row r="364" s="327" customFormat="1" ht="25" customHeight="1" spans="1:11">
      <c r="A364" s="339">
        <v>354</v>
      </c>
      <c r="B364" s="340" t="s">
        <v>540</v>
      </c>
      <c r="C364" s="341" t="s">
        <v>892</v>
      </c>
      <c r="D364" s="342" t="s">
        <v>394</v>
      </c>
      <c r="E364" s="343">
        <v>2</v>
      </c>
      <c r="F364" s="343">
        <v>-0.5</v>
      </c>
      <c r="G364" s="343">
        <v>1.5</v>
      </c>
      <c r="H364" s="344"/>
      <c r="I364" s="354"/>
      <c r="J364" s="355">
        <v>3008</v>
      </c>
      <c r="K364" s="356"/>
    </row>
    <row r="365" s="327" customFormat="1" ht="25" customHeight="1" spans="1:11">
      <c r="A365" s="339">
        <v>355</v>
      </c>
      <c r="B365" s="340" t="s">
        <v>540</v>
      </c>
      <c r="C365" s="341" t="s">
        <v>894</v>
      </c>
      <c r="D365" s="342" t="s">
        <v>395</v>
      </c>
      <c r="E365" s="343">
        <v>3</v>
      </c>
      <c r="F365" s="343">
        <v>-2</v>
      </c>
      <c r="G365" s="343">
        <v>1</v>
      </c>
      <c r="H365" s="344"/>
      <c r="I365" s="354"/>
      <c r="J365" s="355">
        <v>3032</v>
      </c>
      <c r="K365" s="356"/>
    </row>
    <row r="366" s="327" customFormat="1" ht="25" customHeight="1" spans="1:11">
      <c r="A366" s="339">
        <v>356</v>
      </c>
      <c r="B366" s="340" t="s">
        <v>521</v>
      </c>
      <c r="C366" s="341" t="s">
        <v>895</v>
      </c>
      <c r="D366" s="342" t="s">
        <v>896</v>
      </c>
      <c r="E366" s="343">
        <v>8</v>
      </c>
      <c r="F366" s="343">
        <v>-8</v>
      </c>
      <c r="G366" s="343">
        <v>0</v>
      </c>
      <c r="H366" s="344"/>
      <c r="I366" s="354">
        <v>8</v>
      </c>
      <c r="J366" s="355">
        <v>1415</v>
      </c>
      <c r="K366" s="356">
        <v>8</v>
      </c>
    </row>
    <row r="367" s="327" customFormat="1" ht="25" customHeight="1" spans="1:11">
      <c r="A367" s="339">
        <v>357</v>
      </c>
      <c r="B367" s="340" t="s">
        <v>521</v>
      </c>
      <c r="C367" s="341" t="s">
        <v>895</v>
      </c>
      <c r="D367" s="342" t="s">
        <v>897</v>
      </c>
      <c r="E367" s="343">
        <v>4</v>
      </c>
      <c r="F367" s="343">
        <v>-2</v>
      </c>
      <c r="G367" s="343">
        <v>2</v>
      </c>
      <c r="H367" s="344"/>
      <c r="I367" s="354"/>
      <c r="J367" s="355">
        <v>1416</v>
      </c>
      <c r="K367" s="356"/>
    </row>
    <row r="368" s="327" customFormat="1" ht="25" customHeight="1" spans="1:11">
      <c r="A368" s="339">
        <v>358</v>
      </c>
      <c r="B368" s="340" t="s">
        <v>521</v>
      </c>
      <c r="C368" s="341" t="s">
        <v>895</v>
      </c>
      <c r="D368" s="342" t="s">
        <v>898</v>
      </c>
      <c r="E368" s="343">
        <v>2</v>
      </c>
      <c r="F368" s="343">
        <v>-2</v>
      </c>
      <c r="G368" s="343">
        <v>0</v>
      </c>
      <c r="H368" s="344"/>
      <c r="I368" s="354"/>
      <c r="J368" s="355">
        <v>1418</v>
      </c>
      <c r="K368" s="356"/>
    </row>
    <row r="369" s="327" customFormat="1" ht="25" customHeight="1" spans="1:11">
      <c r="A369" s="339">
        <v>359</v>
      </c>
      <c r="B369" s="340" t="s">
        <v>521</v>
      </c>
      <c r="C369" s="341" t="s">
        <v>895</v>
      </c>
      <c r="D369" s="342" t="s">
        <v>899</v>
      </c>
      <c r="E369" s="343">
        <v>38.85</v>
      </c>
      <c r="F369" s="343">
        <v>-38.85</v>
      </c>
      <c r="G369" s="343">
        <v>0</v>
      </c>
      <c r="H369" s="344"/>
      <c r="I369" s="354"/>
      <c r="J369" s="355">
        <v>1419</v>
      </c>
      <c r="K369" s="356"/>
    </row>
    <row r="370" s="327" customFormat="1" ht="25" customHeight="1" spans="1:11">
      <c r="A370" s="339">
        <v>360</v>
      </c>
      <c r="B370" s="340" t="s">
        <v>521</v>
      </c>
      <c r="C370" s="341" t="s">
        <v>895</v>
      </c>
      <c r="D370" s="342" t="s">
        <v>900</v>
      </c>
      <c r="E370" s="343">
        <v>19.87</v>
      </c>
      <c r="F370" s="343">
        <v>-19.87</v>
      </c>
      <c r="G370" s="343">
        <v>0</v>
      </c>
      <c r="H370" s="344"/>
      <c r="I370" s="354">
        <v>9.96</v>
      </c>
      <c r="J370" s="355">
        <v>1420</v>
      </c>
      <c r="K370" s="356">
        <v>9.96</v>
      </c>
    </row>
    <row r="371" s="327" customFormat="1" ht="25" customHeight="1" spans="1:11">
      <c r="A371" s="339">
        <v>361</v>
      </c>
      <c r="B371" s="340" t="s">
        <v>521</v>
      </c>
      <c r="C371" s="341" t="s">
        <v>895</v>
      </c>
      <c r="D371" s="342" t="s">
        <v>901</v>
      </c>
      <c r="E371" s="343">
        <v>3</v>
      </c>
      <c r="F371" s="343">
        <v>-1</v>
      </c>
      <c r="G371" s="343">
        <v>2</v>
      </c>
      <c r="H371" s="344"/>
      <c r="I371" s="354"/>
      <c r="J371" s="355">
        <v>1426</v>
      </c>
      <c r="K371" s="356"/>
    </row>
    <row r="372" s="327" customFormat="1" ht="25" customHeight="1" spans="1:11">
      <c r="A372" s="339">
        <v>362</v>
      </c>
      <c r="B372" s="340" t="s">
        <v>521</v>
      </c>
      <c r="C372" s="341" t="s">
        <v>895</v>
      </c>
      <c r="D372" s="342" t="s">
        <v>902</v>
      </c>
      <c r="E372" s="343">
        <v>5</v>
      </c>
      <c r="F372" s="343">
        <v>-5</v>
      </c>
      <c r="G372" s="343">
        <v>0</v>
      </c>
      <c r="H372" s="344"/>
      <c r="I372" s="354"/>
      <c r="J372" s="355">
        <v>1975</v>
      </c>
      <c r="K372" s="356"/>
    </row>
    <row r="373" s="327" customFormat="1" ht="25" customHeight="1" spans="1:11">
      <c r="A373" s="339">
        <v>363</v>
      </c>
      <c r="B373" s="340" t="s">
        <v>521</v>
      </c>
      <c r="C373" s="341" t="s">
        <v>895</v>
      </c>
      <c r="D373" s="342" t="s">
        <v>903</v>
      </c>
      <c r="E373" s="343">
        <v>23</v>
      </c>
      <c r="F373" s="343">
        <v>-9.948</v>
      </c>
      <c r="G373" s="343">
        <v>13.052</v>
      </c>
      <c r="H373" s="344"/>
      <c r="I373" s="354"/>
      <c r="J373" s="355">
        <v>1977</v>
      </c>
      <c r="K373" s="356"/>
    </row>
    <row r="374" s="327" customFormat="1" ht="25" customHeight="1" spans="1:11">
      <c r="A374" s="339">
        <v>364</v>
      </c>
      <c r="B374" s="340" t="s">
        <v>521</v>
      </c>
      <c r="C374" s="341" t="s">
        <v>895</v>
      </c>
      <c r="D374" s="342" t="s">
        <v>904</v>
      </c>
      <c r="E374" s="343">
        <v>369</v>
      </c>
      <c r="F374" s="343">
        <v>-369</v>
      </c>
      <c r="G374" s="343">
        <v>0</v>
      </c>
      <c r="H374" s="344"/>
      <c r="I374" s="354">
        <v>208</v>
      </c>
      <c r="J374" s="355">
        <v>1978</v>
      </c>
      <c r="K374" s="356">
        <v>208</v>
      </c>
    </row>
    <row r="375" s="327" customFormat="1" ht="25" customHeight="1" spans="1:11">
      <c r="A375" s="339">
        <v>365</v>
      </c>
      <c r="B375" s="340" t="s">
        <v>521</v>
      </c>
      <c r="C375" s="341" t="s">
        <v>895</v>
      </c>
      <c r="D375" s="342" t="s">
        <v>905</v>
      </c>
      <c r="E375" s="343">
        <v>100</v>
      </c>
      <c r="F375" s="343">
        <v>-24.6326</v>
      </c>
      <c r="G375" s="343">
        <v>75.3674</v>
      </c>
      <c r="H375" s="344"/>
      <c r="I375" s="354"/>
      <c r="J375" s="355">
        <v>1987</v>
      </c>
      <c r="K375" s="356"/>
    </row>
    <row r="376" s="327" customFormat="1" ht="25" customHeight="1" spans="1:11">
      <c r="A376" s="339">
        <v>366</v>
      </c>
      <c r="B376" s="340" t="s">
        <v>521</v>
      </c>
      <c r="C376" s="341" t="s">
        <v>895</v>
      </c>
      <c r="D376" s="342" t="s">
        <v>906</v>
      </c>
      <c r="E376" s="343">
        <v>38</v>
      </c>
      <c r="F376" s="343">
        <v>-37</v>
      </c>
      <c r="G376" s="343">
        <v>1</v>
      </c>
      <c r="H376" s="344"/>
      <c r="I376" s="354">
        <v>37</v>
      </c>
      <c r="J376" s="355">
        <v>1989</v>
      </c>
      <c r="K376" s="356"/>
    </row>
    <row r="377" s="327" customFormat="1" ht="25" customHeight="1" spans="1:11">
      <c r="A377" s="339">
        <v>367</v>
      </c>
      <c r="B377" s="340" t="s">
        <v>521</v>
      </c>
      <c r="C377" s="341" t="s">
        <v>895</v>
      </c>
      <c r="D377" s="342" t="s">
        <v>907</v>
      </c>
      <c r="E377" s="343">
        <v>346</v>
      </c>
      <c r="F377" s="343">
        <v>-113.980825</v>
      </c>
      <c r="G377" s="343">
        <v>232.019175</v>
      </c>
      <c r="H377" s="344"/>
      <c r="I377" s="354"/>
      <c r="J377" s="355">
        <v>2033</v>
      </c>
      <c r="K377" s="356"/>
    </row>
    <row r="378" s="327" customFormat="1" ht="25" customHeight="1" spans="1:11">
      <c r="A378" s="339">
        <v>368</v>
      </c>
      <c r="B378" s="340" t="s">
        <v>521</v>
      </c>
      <c r="C378" s="341" t="s">
        <v>895</v>
      </c>
      <c r="D378" s="342" t="s">
        <v>908</v>
      </c>
      <c r="E378" s="343">
        <v>330</v>
      </c>
      <c r="F378" s="343">
        <v>-41.486913</v>
      </c>
      <c r="G378" s="343">
        <v>288.513087</v>
      </c>
      <c r="H378" s="344"/>
      <c r="I378" s="354"/>
      <c r="J378" s="355">
        <v>2064</v>
      </c>
      <c r="K378" s="356"/>
    </row>
    <row r="379" s="327" customFormat="1" ht="25" customHeight="1" spans="1:11">
      <c r="A379" s="339">
        <v>369</v>
      </c>
      <c r="B379" s="340" t="s">
        <v>521</v>
      </c>
      <c r="C379" s="341" t="s">
        <v>895</v>
      </c>
      <c r="D379" s="342" t="s">
        <v>909</v>
      </c>
      <c r="E379" s="343">
        <v>750</v>
      </c>
      <c r="F379" s="343">
        <v>-160.1504</v>
      </c>
      <c r="G379" s="343">
        <v>589.8496</v>
      </c>
      <c r="H379" s="344"/>
      <c r="I379" s="354"/>
      <c r="J379" s="355">
        <v>2066</v>
      </c>
      <c r="K379" s="356"/>
    </row>
    <row r="380" s="327" customFormat="1" ht="25" customHeight="1" spans="1:11">
      <c r="A380" s="339">
        <v>370</v>
      </c>
      <c r="B380" s="340" t="s">
        <v>521</v>
      </c>
      <c r="C380" s="341" t="s">
        <v>895</v>
      </c>
      <c r="D380" s="342" t="s">
        <v>910</v>
      </c>
      <c r="E380" s="343">
        <v>15</v>
      </c>
      <c r="F380" s="343">
        <v>-1.2824</v>
      </c>
      <c r="G380" s="343">
        <v>13.7176</v>
      </c>
      <c r="H380" s="344"/>
      <c r="I380" s="354"/>
      <c r="J380" s="355">
        <v>2069</v>
      </c>
      <c r="K380" s="356"/>
    </row>
    <row r="381" s="327" customFormat="1" ht="25" customHeight="1" spans="1:11">
      <c r="A381" s="339">
        <v>371</v>
      </c>
      <c r="B381" s="340" t="s">
        <v>521</v>
      </c>
      <c r="C381" s="341" t="s">
        <v>895</v>
      </c>
      <c r="D381" s="342" t="s">
        <v>911</v>
      </c>
      <c r="E381" s="343">
        <v>2</v>
      </c>
      <c r="F381" s="343">
        <v>-2</v>
      </c>
      <c r="G381" s="343">
        <v>0</v>
      </c>
      <c r="H381" s="344"/>
      <c r="I381" s="354"/>
      <c r="J381" s="355">
        <v>2071</v>
      </c>
      <c r="K381" s="356"/>
    </row>
    <row r="382" s="327" customFormat="1" ht="25" customHeight="1" spans="1:11">
      <c r="A382" s="339">
        <v>372</v>
      </c>
      <c r="B382" s="340" t="s">
        <v>521</v>
      </c>
      <c r="C382" s="341" t="s">
        <v>895</v>
      </c>
      <c r="D382" s="342" t="s">
        <v>912</v>
      </c>
      <c r="E382" s="343">
        <v>35</v>
      </c>
      <c r="F382" s="343">
        <v>-4.767</v>
      </c>
      <c r="G382" s="343">
        <v>30.233</v>
      </c>
      <c r="H382" s="344"/>
      <c r="I382" s="354"/>
      <c r="J382" s="355">
        <v>2076</v>
      </c>
      <c r="K382" s="356"/>
    </row>
    <row r="383" s="327" customFormat="1" ht="25" customHeight="1" spans="1:11">
      <c r="A383" s="339">
        <v>373</v>
      </c>
      <c r="B383" s="340" t="s">
        <v>521</v>
      </c>
      <c r="C383" s="341" t="s">
        <v>895</v>
      </c>
      <c r="D383" s="342" t="s">
        <v>913</v>
      </c>
      <c r="E383" s="343">
        <v>0.5</v>
      </c>
      <c r="F383" s="343">
        <v>-0.032</v>
      </c>
      <c r="G383" s="343">
        <v>0.468</v>
      </c>
      <c r="H383" s="344"/>
      <c r="I383" s="354"/>
      <c r="J383" s="355">
        <v>2079</v>
      </c>
      <c r="K383" s="356"/>
    </row>
    <row r="384" s="327" customFormat="1" ht="25" customHeight="1" spans="1:11">
      <c r="A384" s="339">
        <v>374</v>
      </c>
      <c r="B384" s="340" t="s">
        <v>521</v>
      </c>
      <c r="C384" s="341" t="s">
        <v>895</v>
      </c>
      <c r="D384" s="342" t="s">
        <v>914</v>
      </c>
      <c r="E384" s="343">
        <v>16.2</v>
      </c>
      <c r="F384" s="343">
        <v>-1.2</v>
      </c>
      <c r="G384" s="343">
        <v>15</v>
      </c>
      <c r="H384" s="344"/>
      <c r="I384" s="354"/>
      <c r="J384" s="355">
        <v>2144</v>
      </c>
      <c r="K384" s="356"/>
    </row>
    <row r="385" s="327" customFormat="1" ht="25" customHeight="1" spans="1:11">
      <c r="A385" s="339">
        <v>375</v>
      </c>
      <c r="B385" s="340" t="s">
        <v>521</v>
      </c>
      <c r="C385" s="341" t="s">
        <v>895</v>
      </c>
      <c r="D385" s="342" t="s">
        <v>915</v>
      </c>
      <c r="E385" s="343">
        <v>38</v>
      </c>
      <c r="F385" s="343">
        <v>-38</v>
      </c>
      <c r="G385" s="343">
        <v>0</v>
      </c>
      <c r="H385" s="344"/>
      <c r="I385" s="354">
        <v>38</v>
      </c>
      <c r="J385" s="355">
        <v>2145</v>
      </c>
      <c r="K385" s="356">
        <v>8.4</v>
      </c>
    </row>
    <row r="386" s="327" customFormat="1" ht="25" customHeight="1" spans="1:11">
      <c r="A386" s="339">
        <v>376</v>
      </c>
      <c r="B386" s="340" t="s">
        <v>521</v>
      </c>
      <c r="C386" s="341" t="s">
        <v>895</v>
      </c>
      <c r="D386" s="342" t="s">
        <v>916</v>
      </c>
      <c r="E386" s="343">
        <v>1.92</v>
      </c>
      <c r="F386" s="343">
        <v>-1.92</v>
      </c>
      <c r="G386" s="343">
        <v>0</v>
      </c>
      <c r="H386" s="344"/>
      <c r="I386" s="354">
        <v>1.92</v>
      </c>
      <c r="J386" s="355">
        <v>2146</v>
      </c>
      <c r="K386" s="356">
        <v>1.92</v>
      </c>
    </row>
    <row r="387" s="327" customFormat="1" ht="25" customHeight="1" spans="1:11">
      <c r="A387" s="339">
        <v>377</v>
      </c>
      <c r="B387" s="340" t="s">
        <v>521</v>
      </c>
      <c r="C387" s="341" t="s">
        <v>895</v>
      </c>
      <c r="D387" s="342" t="s">
        <v>917</v>
      </c>
      <c r="E387" s="343">
        <v>8.88</v>
      </c>
      <c r="F387" s="343">
        <v>-8.88</v>
      </c>
      <c r="G387" s="343">
        <v>0</v>
      </c>
      <c r="H387" s="344"/>
      <c r="I387" s="354">
        <v>8.88</v>
      </c>
      <c r="J387" s="355">
        <v>2147</v>
      </c>
      <c r="K387" s="356">
        <v>8.88</v>
      </c>
    </row>
    <row r="388" s="327" customFormat="1" ht="25" customHeight="1" spans="1:11">
      <c r="A388" s="339">
        <v>378</v>
      </c>
      <c r="B388" s="340" t="s">
        <v>521</v>
      </c>
      <c r="C388" s="341" t="s">
        <v>895</v>
      </c>
      <c r="D388" s="342" t="s">
        <v>918</v>
      </c>
      <c r="E388" s="343">
        <v>8</v>
      </c>
      <c r="F388" s="343">
        <v>-6</v>
      </c>
      <c r="G388" s="343">
        <v>2</v>
      </c>
      <c r="H388" s="344"/>
      <c r="I388" s="354"/>
      <c r="J388" s="355">
        <v>2150</v>
      </c>
      <c r="K388" s="356"/>
    </row>
    <row r="389" s="327" customFormat="1" ht="25" customHeight="1" spans="1:11">
      <c r="A389" s="339">
        <v>379</v>
      </c>
      <c r="B389" s="340" t="s">
        <v>521</v>
      </c>
      <c r="C389" s="341" t="s">
        <v>895</v>
      </c>
      <c r="D389" s="342" t="s">
        <v>919</v>
      </c>
      <c r="E389" s="343">
        <v>42</v>
      </c>
      <c r="F389" s="343">
        <v>-42</v>
      </c>
      <c r="G389" s="343">
        <v>0</v>
      </c>
      <c r="H389" s="344"/>
      <c r="I389" s="354"/>
      <c r="J389" s="355">
        <v>2151</v>
      </c>
      <c r="K389" s="356"/>
    </row>
    <row r="390" s="327" customFormat="1" ht="25" customHeight="1" spans="1:11">
      <c r="A390" s="339">
        <v>380</v>
      </c>
      <c r="B390" s="340" t="s">
        <v>521</v>
      </c>
      <c r="C390" s="341" t="s">
        <v>895</v>
      </c>
      <c r="D390" s="342" t="s">
        <v>896</v>
      </c>
      <c r="E390" s="343">
        <v>7</v>
      </c>
      <c r="F390" s="343">
        <v>-7</v>
      </c>
      <c r="G390" s="343">
        <v>0</v>
      </c>
      <c r="H390" s="344"/>
      <c r="I390" s="354">
        <v>7</v>
      </c>
      <c r="J390" s="355">
        <v>1083</v>
      </c>
      <c r="K390" s="356"/>
    </row>
    <row r="391" s="327" customFormat="1" ht="25" customHeight="1" spans="1:11">
      <c r="A391" s="339">
        <v>381</v>
      </c>
      <c r="B391" s="340" t="s">
        <v>521</v>
      </c>
      <c r="C391" s="341" t="s">
        <v>895</v>
      </c>
      <c r="D391" s="342" t="s">
        <v>906</v>
      </c>
      <c r="E391" s="343">
        <v>25</v>
      </c>
      <c r="F391" s="343">
        <v>-25</v>
      </c>
      <c r="G391" s="343">
        <v>0</v>
      </c>
      <c r="H391" s="344"/>
      <c r="I391" s="354">
        <v>25</v>
      </c>
      <c r="J391" s="355">
        <v>1990</v>
      </c>
      <c r="K391" s="356"/>
    </row>
    <row r="392" s="327" customFormat="1" ht="25" customHeight="1" spans="1:11">
      <c r="A392" s="339">
        <v>382</v>
      </c>
      <c r="B392" s="340" t="s">
        <v>521</v>
      </c>
      <c r="C392" s="341" t="s">
        <v>895</v>
      </c>
      <c r="D392" s="342" t="s">
        <v>906</v>
      </c>
      <c r="E392" s="343">
        <v>3</v>
      </c>
      <c r="F392" s="343">
        <v>-3</v>
      </c>
      <c r="G392" s="343">
        <v>0</v>
      </c>
      <c r="H392" s="344"/>
      <c r="I392" s="354">
        <v>3</v>
      </c>
      <c r="J392" s="355">
        <v>1993</v>
      </c>
      <c r="K392" s="356"/>
    </row>
    <row r="393" s="327" customFormat="1" ht="25" customHeight="1" spans="1:11">
      <c r="A393" s="339">
        <v>383</v>
      </c>
      <c r="B393" s="340" t="s">
        <v>540</v>
      </c>
      <c r="C393" s="341" t="s">
        <v>895</v>
      </c>
      <c r="D393" s="342" t="s">
        <v>920</v>
      </c>
      <c r="E393" s="343">
        <v>5</v>
      </c>
      <c r="F393" s="343">
        <v>-3.4289</v>
      </c>
      <c r="G393" s="343">
        <v>1.5711</v>
      </c>
      <c r="H393" s="344"/>
      <c r="I393" s="354">
        <v>3.4289</v>
      </c>
      <c r="J393" s="355">
        <v>1414</v>
      </c>
      <c r="K393" s="356"/>
    </row>
    <row r="394" s="327" customFormat="1" ht="25" customHeight="1" spans="1:11">
      <c r="A394" s="339">
        <v>384</v>
      </c>
      <c r="B394" s="340" t="s">
        <v>540</v>
      </c>
      <c r="C394" s="341" t="s">
        <v>895</v>
      </c>
      <c r="D394" s="342" t="s">
        <v>921</v>
      </c>
      <c r="E394" s="343">
        <v>274.8</v>
      </c>
      <c r="F394" s="343">
        <v>-274.8</v>
      </c>
      <c r="G394" s="343">
        <v>0</v>
      </c>
      <c r="H394" s="344"/>
      <c r="I394" s="354">
        <v>274.8</v>
      </c>
      <c r="J394" s="355">
        <v>1422</v>
      </c>
      <c r="K394" s="356">
        <v>274.8</v>
      </c>
    </row>
    <row r="395" s="327" customFormat="1" ht="25" customHeight="1" spans="1:11">
      <c r="A395" s="339">
        <v>385</v>
      </c>
      <c r="B395" s="340" t="s">
        <v>540</v>
      </c>
      <c r="C395" s="341" t="s">
        <v>895</v>
      </c>
      <c r="D395" s="342" t="s">
        <v>922</v>
      </c>
      <c r="E395" s="343">
        <v>10</v>
      </c>
      <c r="F395" s="343">
        <v>-5.1375</v>
      </c>
      <c r="G395" s="343">
        <v>4.8625</v>
      </c>
      <c r="H395" s="344"/>
      <c r="I395" s="354">
        <v>5.1375</v>
      </c>
      <c r="J395" s="355">
        <v>1423</v>
      </c>
      <c r="K395" s="356"/>
    </row>
    <row r="396" s="327" customFormat="1" ht="25" customHeight="1" spans="1:11">
      <c r="A396" s="339">
        <v>386</v>
      </c>
      <c r="B396" s="340" t="s">
        <v>540</v>
      </c>
      <c r="C396" s="341" t="s">
        <v>895</v>
      </c>
      <c r="D396" s="342" t="s">
        <v>923</v>
      </c>
      <c r="E396" s="343">
        <v>0.01</v>
      </c>
      <c r="F396" s="343">
        <v>-0.01</v>
      </c>
      <c r="G396" s="343">
        <v>0</v>
      </c>
      <c r="H396" s="344"/>
      <c r="I396" s="354"/>
      <c r="J396" s="355">
        <v>3157</v>
      </c>
      <c r="K396" s="356"/>
    </row>
    <row r="397" s="327" customFormat="1" ht="25" customHeight="1" spans="1:11">
      <c r="A397" s="339">
        <v>387</v>
      </c>
      <c r="B397" s="340" t="s">
        <v>521</v>
      </c>
      <c r="C397" s="341" t="s">
        <v>924</v>
      </c>
      <c r="D397" s="342" t="s">
        <v>925</v>
      </c>
      <c r="E397" s="343">
        <v>3</v>
      </c>
      <c r="F397" s="343">
        <v>-3</v>
      </c>
      <c r="G397" s="343">
        <v>0</v>
      </c>
      <c r="H397" s="344"/>
      <c r="I397" s="354"/>
      <c r="J397" s="355">
        <v>1365</v>
      </c>
      <c r="K397" s="356"/>
    </row>
    <row r="398" s="327" customFormat="1" ht="25" customHeight="1" spans="1:11">
      <c r="A398" s="339">
        <v>388</v>
      </c>
      <c r="B398" s="340" t="s">
        <v>572</v>
      </c>
      <c r="C398" s="341" t="s">
        <v>926</v>
      </c>
      <c r="D398" s="342" t="s">
        <v>927</v>
      </c>
      <c r="E398" s="343">
        <v>4</v>
      </c>
      <c r="F398" s="343">
        <v>-4</v>
      </c>
      <c r="G398" s="343">
        <v>0</v>
      </c>
      <c r="H398" s="344"/>
      <c r="I398" s="354"/>
      <c r="J398" s="355">
        <v>2674</v>
      </c>
      <c r="K398" s="356"/>
    </row>
    <row r="399" s="327" customFormat="1" ht="25" customHeight="1" spans="1:11">
      <c r="A399" s="339">
        <v>389</v>
      </c>
      <c r="B399" s="340" t="s">
        <v>611</v>
      </c>
      <c r="C399" s="341" t="s">
        <v>928</v>
      </c>
      <c r="D399" s="342" t="s">
        <v>929</v>
      </c>
      <c r="E399" s="343">
        <v>36</v>
      </c>
      <c r="F399" s="343">
        <v>-36</v>
      </c>
      <c r="G399" s="343">
        <v>0</v>
      </c>
      <c r="H399" s="344"/>
      <c r="I399" s="354">
        <v>36</v>
      </c>
      <c r="J399" s="355">
        <v>965</v>
      </c>
      <c r="K399" s="356">
        <v>1000</v>
      </c>
    </row>
    <row r="400" s="327" customFormat="1" ht="25" customHeight="1" spans="1:11">
      <c r="A400" s="339">
        <v>390</v>
      </c>
      <c r="B400" s="340" t="s">
        <v>611</v>
      </c>
      <c r="C400" s="341" t="s">
        <v>928</v>
      </c>
      <c r="D400" s="342" t="s">
        <v>930</v>
      </c>
      <c r="E400" s="343">
        <v>25</v>
      </c>
      <c r="F400" s="343">
        <v>-25</v>
      </c>
      <c r="G400" s="343">
        <v>0</v>
      </c>
      <c r="H400" s="344"/>
      <c r="I400" s="354">
        <v>25</v>
      </c>
      <c r="J400" s="355">
        <v>966</v>
      </c>
      <c r="K400" s="356"/>
    </row>
    <row r="401" s="327" customFormat="1" ht="25" customHeight="1" spans="1:11">
      <c r="A401" s="339">
        <v>391</v>
      </c>
      <c r="B401" s="340" t="s">
        <v>611</v>
      </c>
      <c r="C401" s="341" t="s">
        <v>928</v>
      </c>
      <c r="D401" s="342" t="s">
        <v>931</v>
      </c>
      <c r="E401" s="343">
        <v>120</v>
      </c>
      <c r="F401" s="343">
        <v>-120</v>
      </c>
      <c r="G401" s="343">
        <v>0</v>
      </c>
      <c r="H401" s="344"/>
      <c r="I401" s="354">
        <v>120</v>
      </c>
      <c r="J401" s="355">
        <v>968</v>
      </c>
      <c r="K401" s="356"/>
    </row>
    <row r="402" s="327" customFormat="1" ht="25" customHeight="1" spans="1:11">
      <c r="A402" s="339">
        <v>392</v>
      </c>
      <c r="B402" s="340" t="s">
        <v>611</v>
      </c>
      <c r="C402" s="341" t="s">
        <v>928</v>
      </c>
      <c r="D402" s="342" t="s">
        <v>932</v>
      </c>
      <c r="E402" s="343">
        <v>61</v>
      </c>
      <c r="F402" s="343">
        <v>-40.96</v>
      </c>
      <c r="G402" s="343">
        <v>20.04</v>
      </c>
      <c r="H402" s="344"/>
      <c r="I402" s="354">
        <v>40.96</v>
      </c>
      <c r="J402" s="355">
        <v>969</v>
      </c>
      <c r="K402" s="356"/>
    </row>
    <row r="403" s="327" customFormat="1" ht="25" customHeight="1" spans="1:11">
      <c r="A403" s="339">
        <v>393</v>
      </c>
      <c r="B403" s="340" t="s">
        <v>611</v>
      </c>
      <c r="C403" s="341" t="s">
        <v>928</v>
      </c>
      <c r="D403" s="342" t="s">
        <v>933</v>
      </c>
      <c r="E403" s="343">
        <v>120</v>
      </c>
      <c r="F403" s="343">
        <v>-47.45</v>
      </c>
      <c r="G403" s="343">
        <v>72.55</v>
      </c>
      <c r="H403" s="344"/>
      <c r="I403" s="354">
        <v>47.45</v>
      </c>
      <c r="J403" s="355">
        <v>971</v>
      </c>
      <c r="K403" s="356"/>
    </row>
    <row r="404" s="327" customFormat="1" ht="25" customHeight="1" spans="1:11">
      <c r="A404" s="339">
        <v>394</v>
      </c>
      <c r="B404" s="340" t="s">
        <v>611</v>
      </c>
      <c r="C404" s="341" t="s">
        <v>928</v>
      </c>
      <c r="D404" s="342" t="s">
        <v>934</v>
      </c>
      <c r="E404" s="343">
        <v>120</v>
      </c>
      <c r="F404" s="343">
        <v>-38.74</v>
      </c>
      <c r="G404" s="343">
        <v>81.26</v>
      </c>
      <c r="H404" s="344"/>
      <c r="I404" s="354">
        <v>38.74</v>
      </c>
      <c r="J404" s="355">
        <v>972</v>
      </c>
      <c r="K404" s="356"/>
    </row>
    <row r="405" s="327" customFormat="1" ht="25" customHeight="1" spans="1:11">
      <c r="A405" s="339">
        <v>395</v>
      </c>
      <c r="B405" s="340" t="s">
        <v>611</v>
      </c>
      <c r="C405" s="341" t="s">
        <v>928</v>
      </c>
      <c r="D405" s="342" t="s">
        <v>935</v>
      </c>
      <c r="E405" s="343">
        <v>22.94</v>
      </c>
      <c r="F405" s="343">
        <v>-0.00137300000000096</v>
      </c>
      <c r="G405" s="343">
        <v>22.938627</v>
      </c>
      <c r="H405" s="344"/>
      <c r="I405" s="354"/>
      <c r="J405" s="355">
        <v>975</v>
      </c>
      <c r="K405" s="356"/>
    </row>
    <row r="406" s="327" customFormat="1" ht="25" customHeight="1" spans="1:11">
      <c r="A406" s="339">
        <v>396</v>
      </c>
      <c r="B406" s="340" t="s">
        <v>611</v>
      </c>
      <c r="C406" s="341" t="s">
        <v>928</v>
      </c>
      <c r="D406" s="342" t="s">
        <v>936</v>
      </c>
      <c r="E406" s="343">
        <v>120</v>
      </c>
      <c r="F406" s="343">
        <v>-11.000513</v>
      </c>
      <c r="G406" s="343">
        <v>108.999487</v>
      </c>
      <c r="H406" s="344"/>
      <c r="I406" s="354">
        <v>11</v>
      </c>
      <c r="J406" s="355">
        <v>976</v>
      </c>
      <c r="K406" s="356"/>
    </row>
    <row r="407" s="327" customFormat="1" ht="25" customHeight="1" spans="1:11">
      <c r="A407" s="339">
        <v>397</v>
      </c>
      <c r="B407" s="340" t="s">
        <v>611</v>
      </c>
      <c r="C407" s="341" t="s">
        <v>928</v>
      </c>
      <c r="D407" s="342" t="s">
        <v>937</v>
      </c>
      <c r="E407" s="343">
        <v>74.53</v>
      </c>
      <c r="F407" s="343">
        <v>-4.438833</v>
      </c>
      <c r="G407" s="343">
        <v>70.091167</v>
      </c>
      <c r="H407" s="344"/>
      <c r="I407" s="354"/>
      <c r="J407" s="355">
        <v>977</v>
      </c>
      <c r="K407" s="356"/>
    </row>
    <row r="408" s="327" customFormat="1" ht="25" customHeight="1" spans="1:11">
      <c r="A408" s="339">
        <v>398</v>
      </c>
      <c r="B408" s="340" t="s">
        <v>611</v>
      </c>
      <c r="C408" s="341" t="s">
        <v>928</v>
      </c>
      <c r="D408" s="342" t="s">
        <v>938</v>
      </c>
      <c r="E408" s="343">
        <v>16.75</v>
      </c>
      <c r="F408" s="343">
        <v>-0.000430000000001485</v>
      </c>
      <c r="G408" s="343">
        <v>16.74957</v>
      </c>
      <c r="H408" s="344"/>
      <c r="I408" s="354"/>
      <c r="J408" s="355">
        <v>978</v>
      </c>
      <c r="K408" s="356"/>
    </row>
    <row r="409" s="327" customFormat="1" ht="25" customHeight="1" spans="1:11">
      <c r="A409" s="339">
        <v>399</v>
      </c>
      <c r="B409" s="340" t="s">
        <v>611</v>
      </c>
      <c r="C409" s="341" t="s">
        <v>928</v>
      </c>
      <c r="D409" s="342" t="s">
        <v>939</v>
      </c>
      <c r="E409" s="343">
        <v>200</v>
      </c>
      <c r="F409" s="343">
        <v>-200</v>
      </c>
      <c r="G409" s="343">
        <v>0</v>
      </c>
      <c r="H409" s="344"/>
      <c r="I409" s="354">
        <v>200</v>
      </c>
      <c r="J409" s="355">
        <v>980</v>
      </c>
      <c r="K409" s="356"/>
    </row>
    <row r="410" s="327" customFormat="1" ht="25" customHeight="1" spans="1:11">
      <c r="A410" s="339">
        <v>400</v>
      </c>
      <c r="B410" s="340" t="s">
        <v>611</v>
      </c>
      <c r="C410" s="341" t="s">
        <v>928</v>
      </c>
      <c r="D410" s="342" t="s">
        <v>940</v>
      </c>
      <c r="E410" s="343">
        <v>1000</v>
      </c>
      <c r="F410" s="343">
        <v>-500</v>
      </c>
      <c r="G410" s="343">
        <v>500</v>
      </c>
      <c r="H410" s="344"/>
      <c r="I410" s="354">
        <v>500</v>
      </c>
      <c r="J410" s="355">
        <v>981</v>
      </c>
      <c r="K410" s="356"/>
    </row>
    <row r="411" s="327" customFormat="1" ht="25" customHeight="1" spans="1:11">
      <c r="A411" s="339">
        <v>401</v>
      </c>
      <c r="B411" s="340" t="s">
        <v>611</v>
      </c>
      <c r="C411" s="341" t="s">
        <v>928</v>
      </c>
      <c r="D411" s="342" t="s">
        <v>941</v>
      </c>
      <c r="E411" s="343">
        <v>1000</v>
      </c>
      <c r="F411" s="343">
        <v>-1000</v>
      </c>
      <c r="G411" s="343">
        <v>0</v>
      </c>
      <c r="H411" s="344"/>
      <c r="I411" s="354">
        <v>1000</v>
      </c>
      <c r="J411" s="355">
        <v>982</v>
      </c>
      <c r="K411" s="356"/>
    </row>
    <row r="412" s="327" customFormat="1" ht="25" customHeight="1" spans="1:11">
      <c r="A412" s="339">
        <v>402</v>
      </c>
      <c r="B412" s="340" t="s">
        <v>611</v>
      </c>
      <c r="C412" s="341" t="s">
        <v>928</v>
      </c>
      <c r="D412" s="342" t="s">
        <v>942</v>
      </c>
      <c r="E412" s="343">
        <v>58.82</v>
      </c>
      <c r="F412" s="343">
        <v>-58.82</v>
      </c>
      <c r="G412" s="343">
        <v>0</v>
      </c>
      <c r="H412" s="344"/>
      <c r="I412" s="354">
        <v>58.82</v>
      </c>
      <c r="J412" s="355">
        <v>983</v>
      </c>
      <c r="K412" s="356"/>
    </row>
    <row r="413" s="327" customFormat="1" ht="25" customHeight="1" spans="1:11">
      <c r="A413" s="339">
        <v>403</v>
      </c>
      <c r="B413" s="340" t="s">
        <v>611</v>
      </c>
      <c r="C413" s="341" t="s">
        <v>928</v>
      </c>
      <c r="D413" s="342" t="s">
        <v>943</v>
      </c>
      <c r="E413" s="343">
        <v>200</v>
      </c>
      <c r="F413" s="343">
        <v>-167.85</v>
      </c>
      <c r="G413" s="343">
        <v>32.15</v>
      </c>
      <c r="H413" s="344"/>
      <c r="I413" s="354">
        <v>167.85</v>
      </c>
      <c r="J413" s="355">
        <v>984</v>
      </c>
      <c r="K413" s="356"/>
    </row>
    <row r="414" s="327" customFormat="1" ht="25" customHeight="1" spans="1:11">
      <c r="A414" s="339">
        <v>404</v>
      </c>
      <c r="B414" s="340" t="s">
        <v>611</v>
      </c>
      <c r="C414" s="341" t="s">
        <v>928</v>
      </c>
      <c r="D414" s="342" t="s">
        <v>944</v>
      </c>
      <c r="E414" s="343">
        <v>57.66</v>
      </c>
      <c r="F414" s="343">
        <v>-57.66</v>
      </c>
      <c r="G414" s="343">
        <v>0</v>
      </c>
      <c r="H414" s="344"/>
      <c r="I414" s="354">
        <v>57.66</v>
      </c>
      <c r="J414" s="355">
        <v>985</v>
      </c>
      <c r="K414" s="356"/>
    </row>
    <row r="415" s="327" customFormat="1" ht="25" customHeight="1" spans="1:11">
      <c r="A415" s="339">
        <v>405</v>
      </c>
      <c r="B415" s="340" t="s">
        <v>611</v>
      </c>
      <c r="C415" s="341" t="s">
        <v>928</v>
      </c>
      <c r="D415" s="342" t="s">
        <v>945</v>
      </c>
      <c r="E415" s="343">
        <v>14</v>
      </c>
      <c r="F415" s="343">
        <v>-14</v>
      </c>
      <c r="G415" s="343">
        <v>0</v>
      </c>
      <c r="H415" s="344"/>
      <c r="I415" s="354">
        <v>14</v>
      </c>
      <c r="J415" s="355">
        <v>986</v>
      </c>
      <c r="K415" s="356"/>
    </row>
    <row r="416" s="327" customFormat="1" ht="25" customHeight="1" spans="1:11">
      <c r="A416" s="339">
        <v>406</v>
      </c>
      <c r="B416" s="340" t="s">
        <v>611</v>
      </c>
      <c r="C416" s="341" t="s">
        <v>928</v>
      </c>
      <c r="D416" s="342" t="s">
        <v>946</v>
      </c>
      <c r="E416" s="343">
        <v>5.55</v>
      </c>
      <c r="F416" s="343">
        <v>-5.55</v>
      </c>
      <c r="G416" s="343">
        <v>0</v>
      </c>
      <c r="H416" s="344"/>
      <c r="I416" s="354"/>
      <c r="J416" s="355">
        <v>987</v>
      </c>
      <c r="K416" s="356"/>
    </row>
    <row r="417" s="327" customFormat="1" ht="25" customHeight="1" spans="1:11">
      <c r="A417" s="339">
        <v>407</v>
      </c>
      <c r="B417" s="340" t="s">
        <v>611</v>
      </c>
      <c r="C417" s="341" t="s">
        <v>928</v>
      </c>
      <c r="D417" s="342" t="s">
        <v>947</v>
      </c>
      <c r="E417" s="343">
        <v>281.6</v>
      </c>
      <c r="F417" s="343">
        <v>-281.6</v>
      </c>
      <c r="G417" s="343">
        <v>0</v>
      </c>
      <c r="H417" s="344"/>
      <c r="I417" s="354">
        <v>281.6</v>
      </c>
      <c r="J417" s="355">
        <v>988</v>
      </c>
      <c r="K417" s="356"/>
    </row>
    <row r="418" s="327" customFormat="1" ht="25" customHeight="1" spans="1:11">
      <c r="A418" s="339">
        <v>408</v>
      </c>
      <c r="B418" s="340" t="s">
        <v>611</v>
      </c>
      <c r="C418" s="341" t="s">
        <v>928</v>
      </c>
      <c r="D418" s="342" t="s">
        <v>948</v>
      </c>
      <c r="E418" s="343">
        <v>91.1</v>
      </c>
      <c r="F418" s="343">
        <v>-91.1</v>
      </c>
      <c r="G418" s="343">
        <v>0</v>
      </c>
      <c r="H418" s="344"/>
      <c r="I418" s="354">
        <v>91.1</v>
      </c>
      <c r="J418" s="355">
        <v>989</v>
      </c>
      <c r="K418" s="356"/>
    </row>
    <row r="419" s="327" customFormat="1" ht="25" customHeight="1" spans="1:11">
      <c r="A419" s="339">
        <v>409</v>
      </c>
      <c r="B419" s="340" t="s">
        <v>611</v>
      </c>
      <c r="C419" s="341" t="s">
        <v>928</v>
      </c>
      <c r="D419" s="342" t="s">
        <v>949</v>
      </c>
      <c r="E419" s="343">
        <v>400</v>
      </c>
      <c r="F419" s="343">
        <v>-298.2</v>
      </c>
      <c r="G419" s="343">
        <v>101.8</v>
      </c>
      <c r="H419" s="344"/>
      <c r="I419" s="354">
        <v>298.2</v>
      </c>
      <c r="J419" s="355">
        <v>1027</v>
      </c>
      <c r="K419" s="356"/>
    </row>
    <row r="420" s="327" customFormat="1" ht="25" customHeight="1" spans="1:11">
      <c r="A420" s="339">
        <v>410</v>
      </c>
      <c r="B420" s="340" t="s">
        <v>611</v>
      </c>
      <c r="C420" s="341" t="s">
        <v>928</v>
      </c>
      <c r="D420" s="342" t="s">
        <v>950</v>
      </c>
      <c r="E420" s="343">
        <v>14</v>
      </c>
      <c r="F420" s="343">
        <v>-14</v>
      </c>
      <c r="G420" s="343">
        <v>0</v>
      </c>
      <c r="H420" s="344"/>
      <c r="I420" s="354">
        <v>14</v>
      </c>
      <c r="J420" s="355">
        <v>1028</v>
      </c>
      <c r="K420" s="356"/>
    </row>
    <row r="421" s="327" customFormat="1" ht="25" customHeight="1" spans="1:11">
      <c r="A421" s="339">
        <v>411</v>
      </c>
      <c r="B421" s="340" t="s">
        <v>611</v>
      </c>
      <c r="C421" s="341" t="s">
        <v>928</v>
      </c>
      <c r="D421" s="342" t="s">
        <v>951</v>
      </c>
      <c r="E421" s="343">
        <v>103</v>
      </c>
      <c r="F421" s="343">
        <v>-103</v>
      </c>
      <c r="G421" s="343">
        <v>0</v>
      </c>
      <c r="H421" s="344"/>
      <c r="I421" s="354">
        <v>103</v>
      </c>
      <c r="J421" s="355">
        <v>1053</v>
      </c>
      <c r="K421" s="356"/>
    </row>
    <row r="422" s="327" customFormat="1" ht="25" customHeight="1" spans="1:11">
      <c r="A422" s="339">
        <v>412</v>
      </c>
      <c r="B422" s="340" t="s">
        <v>611</v>
      </c>
      <c r="C422" s="341" t="s">
        <v>928</v>
      </c>
      <c r="D422" s="342" t="s">
        <v>952</v>
      </c>
      <c r="E422" s="343">
        <v>69.63</v>
      </c>
      <c r="F422" s="343">
        <v>-38.63</v>
      </c>
      <c r="G422" s="343">
        <v>31</v>
      </c>
      <c r="H422" s="344"/>
      <c r="I422" s="354">
        <v>38.63</v>
      </c>
      <c r="J422" s="355">
        <v>1055</v>
      </c>
      <c r="K422" s="356"/>
    </row>
    <row r="423" s="327" customFormat="1" ht="25" customHeight="1" spans="1:11">
      <c r="A423" s="339">
        <v>413</v>
      </c>
      <c r="B423" s="340" t="s">
        <v>611</v>
      </c>
      <c r="C423" s="341" t="s">
        <v>928</v>
      </c>
      <c r="D423" s="342" t="s">
        <v>953</v>
      </c>
      <c r="E423" s="343">
        <v>300</v>
      </c>
      <c r="F423" s="343">
        <v>-300</v>
      </c>
      <c r="G423" s="343">
        <v>0</v>
      </c>
      <c r="H423" s="344"/>
      <c r="I423" s="354"/>
      <c r="J423" s="355">
        <v>1199</v>
      </c>
      <c r="K423" s="356"/>
    </row>
    <row r="424" s="327" customFormat="1" ht="25" customHeight="1" spans="1:11">
      <c r="A424" s="339">
        <v>414</v>
      </c>
      <c r="B424" s="340" t="s">
        <v>598</v>
      </c>
      <c r="C424" s="341" t="s">
        <v>928</v>
      </c>
      <c r="D424" s="342" t="s">
        <v>954</v>
      </c>
      <c r="E424" s="343">
        <v>5</v>
      </c>
      <c r="F424" s="343">
        <v>-5</v>
      </c>
      <c r="G424" s="343">
        <v>0</v>
      </c>
      <c r="H424" s="344"/>
      <c r="I424" s="354"/>
      <c r="J424" s="355">
        <v>1050</v>
      </c>
      <c r="K424" s="356"/>
    </row>
    <row r="425" s="327" customFormat="1" ht="25" customHeight="1" spans="1:11">
      <c r="A425" s="339">
        <v>415</v>
      </c>
      <c r="B425" s="340" t="s">
        <v>598</v>
      </c>
      <c r="C425" s="341" t="s">
        <v>928</v>
      </c>
      <c r="D425" s="342" t="s">
        <v>954</v>
      </c>
      <c r="E425" s="343">
        <v>3</v>
      </c>
      <c r="F425" s="343">
        <v>-3</v>
      </c>
      <c r="G425" s="343">
        <v>0</v>
      </c>
      <c r="H425" s="344"/>
      <c r="I425" s="354"/>
      <c r="J425" s="355">
        <v>1051</v>
      </c>
      <c r="K425" s="356"/>
    </row>
    <row r="426" s="327" customFormat="1" ht="25" customHeight="1" spans="1:11">
      <c r="A426" s="339">
        <v>416</v>
      </c>
      <c r="B426" s="340" t="s">
        <v>598</v>
      </c>
      <c r="C426" s="341" t="s">
        <v>928</v>
      </c>
      <c r="D426" s="342" t="s">
        <v>955</v>
      </c>
      <c r="E426" s="343">
        <v>4.54</v>
      </c>
      <c r="F426" s="343">
        <v>-4.54</v>
      </c>
      <c r="G426" s="343">
        <v>0</v>
      </c>
      <c r="H426" s="344"/>
      <c r="I426" s="354"/>
      <c r="J426" s="355">
        <v>1025</v>
      </c>
      <c r="K426" s="356"/>
    </row>
    <row r="427" s="327" customFormat="1" ht="25" customHeight="1" spans="1:11">
      <c r="A427" s="339">
        <v>417</v>
      </c>
      <c r="B427" s="340" t="s">
        <v>563</v>
      </c>
      <c r="C427" s="341" t="s">
        <v>956</v>
      </c>
      <c r="D427" s="342" t="s">
        <v>957</v>
      </c>
      <c r="E427" s="343">
        <v>30</v>
      </c>
      <c r="F427" s="343">
        <v>-30</v>
      </c>
      <c r="G427" s="343">
        <v>0</v>
      </c>
      <c r="H427" s="344"/>
      <c r="I427" s="354">
        <v>30</v>
      </c>
      <c r="J427" s="355">
        <v>1153</v>
      </c>
      <c r="K427" s="356"/>
    </row>
    <row r="428" s="327" customFormat="1" ht="25" customHeight="1" spans="1:11">
      <c r="A428" s="339">
        <v>418</v>
      </c>
      <c r="B428" s="340" t="s">
        <v>563</v>
      </c>
      <c r="C428" s="341" t="s">
        <v>928</v>
      </c>
      <c r="D428" s="342" t="s">
        <v>958</v>
      </c>
      <c r="E428" s="343">
        <v>100</v>
      </c>
      <c r="F428" s="343">
        <v>-80</v>
      </c>
      <c r="G428" s="343">
        <v>20</v>
      </c>
      <c r="H428" s="344"/>
      <c r="I428" s="354">
        <v>80</v>
      </c>
      <c r="J428" s="355">
        <v>996</v>
      </c>
      <c r="K428" s="356"/>
    </row>
    <row r="429" s="327" customFormat="1" ht="25" customHeight="1" spans="1:11">
      <c r="A429" s="339">
        <v>419</v>
      </c>
      <c r="B429" s="340" t="s">
        <v>563</v>
      </c>
      <c r="C429" s="341" t="s">
        <v>959</v>
      </c>
      <c r="D429" s="342" t="s">
        <v>960</v>
      </c>
      <c r="E429" s="343">
        <v>18</v>
      </c>
      <c r="F429" s="343">
        <v>-5</v>
      </c>
      <c r="G429" s="343">
        <v>13</v>
      </c>
      <c r="H429" s="344"/>
      <c r="I429" s="354"/>
      <c r="J429" s="355">
        <v>934</v>
      </c>
      <c r="K429" s="356"/>
    </row>
    <row r="430" s="327" customFormat="1" ht="25" customHeight="1" spans="1:11">
      <c r="A430" s="339">
        <v>420</v>
      </c>
      <c r="B430" s="340" t="s">
        <v>563</v>
      </c>
      <c r="C430" s="341" t="s">
        <v>961</v>
      </c>
      <c r="D430" s="342" t="s">
        <v>962</v>
      </c>
      <c r="E430" s="343">
        <v>89</v>
      </c>
      <c r="F430" s="343">
        <v>-89</v>
      </c>
      <c r="G430" s="343">
        <v>0</v>
      </c>
      <c r="H430" s="344"/>
      <c r="I430" s="354">
        <v>89</v>
      </c>
      <c r="J430" s="355">
        <v>1123</v>
      </c>
      <c r="K430" s="356">
        <v>89</v>
      </c>
    </row>
    <row r="431" s="327" customFormat="1" ht="25" customHeight="1" spans="1:11">
      <c r="A431" s="339">
        <v>421</v>
      </c>
      <c r="B431" s="340" t="s">
        <v>563</v>
      </c>
      <c r="C431" s="341" t="s">
        <v>961</v>
      </c>
      <c r="D431" s="342" t="s">
        <v>963</v>
      </c>
      <c r="E431" s="343">
        <v>36</v>
      </c>
      <c r="F431" s="343">
        <v>-36</v>
      </c>
      <c r="G431" s="343">
        <v>0</v>
      </c>
      <c r="H431" s="344"/>
      <c r="I431" s="354">
        <v>36</v>
      </c>
      <c r="J431" s="355">
        <v>1124</v>
      </c>
      <c r="K431" s="356"/>
    </row>
    <row r="432" s="327" customFormat="1" ht="25" customHeight="1" spans="1:11">
      <c r="A432" s="339">
        <v>422</v>
      </c>
      <c r="B432" s="340" t="s">
        <v>563</v>
      </c>
      <c r="C432" s="341" t="s">
        <v>961</v>
      </c>
      <c r="D432" s="342" t="s">
        <v>964</v>
      </c>
      <c r="E432" s="343">
        <v>1</v>
      </c>
      <c r="F432" s="343">
        <v>-1</v>
      </c>
      <c r="G432" s="343">
        <v>0</v>
      </c>
      <c r="H432" s="344"/>
      <c r="I432" s="354"/>
      <c r="J432" s="355">
        <v>1129</v>
      </c>
      <c r="K432" s="356">
        <v>36</v>
      </c>
    </row>
    <row r="433" s="327" customFormat="1" ht="25" customHeight="1" spans="1:11">
      <c r="A433" s="339">
        <v>423</v>
      </c>
      <c r="B433" s="340" t="s">
        <v>563</v>
      </c>
      <c r="C433" s="341" t="s">
        <v>961</v>
      </c>
      <c r="D433" s="342" t="s">
        <v>965</v>
      </c>
      <c r="E433" s="343">
        <v>245</v>
      </c>
      <c r="F433" s="343">
        <v>-245</v>
      </c>
      <c r="G433" s="343">
        <v>0</v>
      </c>
      <c r="H433" s="344"/>
      <c r="I433" s="354">
        <v>245</v>
      </c>
      <c r="J433" s="355">
        <v>1148</v>
      </c>
      <c r="K433" s="356"/>
    </row>
    <row r="434" s="327" customFormat="1" ht="25" customHeight="1" spans="1:11">
      <c r="A434" s="339">
        <v>424</v>
      </c>
      <c r="B434" s="340" t="s">
        <v>563</v>
      </c>
      <c r="C434" s="341" t="s">
        <v>961</v>
      </c>
      <c r="D434" s="342" t="s">
        <v>966</v>
      </c>
      <c r="E434" s="343">
        <v>100</v>
      </c>
      <c r="F434" s="343">
        <v>-50</v>
      </c>
      <c r="G434" s="343">
        <v>50</v>
      </c>
      <c r="H434" s="344"/>
      <c r="I434" s="354">
        <v>50</v>
      </c>
      <c r="J434" s="355">
        <v>1149</v>
      </c>
      <c r="K434" s="356">
        <v>50</v>
      </c>
    </row>
    <row r="435" s="327" customFormat="1" ht="25" customHeight="1" spans="1:11">
      <c r="A435" s="339">
        <v>425</v>
      </c>
      <c r="B435" s="340" t="s">
        <v>611</v>
      </c>
      <c r="C435" s="341" t="s">
        <v>967</v>
      </c>
      <c r="D435" s="342" t="s">
        <v>968</v>
      </c>
      <c r="E435" s="343">
        <v>300</v>
      </c>
      <c r="F435" s="343">
        <v>-300</v>
      </c>
      <c r="G435" s="343">
        <v>0</v>
      </c>
      <c r="H435" s="344"/>
      <c r="I435" s="354"/>
      <c r="J435" s="355">
        <v>1157</v>
      </c>
      <c r="K435" s="356"/>
    </row>
    <row r="436" s="327" customFormat="1" ht="25" customHeight="1" spans="1:11">
      <c r="A436" s="339">
        <v>426</v>
      </c>
      <c r="B436" s="340" t="s">
        <v>611</v>
      </c>
      <c r="C436" s="341" t="s">
        <v>967</v>
      </c>
      <c r="D436" s="342" t="s">
        <v>969</v>
      </c>
      <c r="E436" s="343">
        <v>9</v>
      </c>
      <c r="F436" s="343">
        <v>-9</v>
      </c>
      <c r="G436" s="343">
        <v>0</v>
      </c>
      <c r="H436" s="344"/>
      <c r="I436" s="354"/>
      <c r="J436" s="355">
        <v>1158</v>
      </c>
      <c r="K436" s="356"/>
    </row>
    <row r="437" s="327" customFormat="1" ht="25" customHeight="1" spans="1:11">
      <c r="A437" s="339">
        <v>427</v>
      </c>
      <c r="B437" s="340" t="s">
        <v>611</v>
      </c>
      <c r="C437" s="341" t="s">
        <v>967</v>
      </c>
      <c r="D437" s="342" t="s">
        <v>970</v>
      </c>
      <c r="E437" s="343">
        <v>500</v>
      </c>
      <c r="F437" s="343">
        <v>-168.82</v>
      </c>
      <c r="G437" s="343">
        <v>331.18</v>
      </c>
      <c r="H437" s="344"/>
      <c r="I437" s="354">
        <v>168.82</v>
      </c>
      <c r="J437" s="355">
        <v>1159</v>
      </c>
      <c r="K437" s="356">
        <v>100</v>
      </c>
    </row>
    <row r="438" s="327" customFormat="1" ht="25" customHeight="1" spans="1:11">
      <c r="A438" s="339">
        <v>428</v>
      </c>
      <c r="B438" s="340" t="s">
        <v>563</v>
      </c>
      <c r="C438" s="341" t="s">
        <v>967</v>
      </c>
      <c r="D438" s="342" t="s">
        <v>971</v>
      </c>
      <c r="E438" s="343">
        <v>100</v>
      </c>
      <c r="F438" s="343">
        <v>-100</v>
      </c>
      <c r="G438" s="343">
        <v>0</v>
      </c>
      <c r="H438" s="344"/>
      <c r="I438" s="354">
        <v>100</v>
      </c>
      <c r="J438" s="355">
        <v>1170</v>
      </c>
      <c r="K438" s="356">
        <v>80</v>
      </c>
    </row>
    <row r="439" s="327" customFormat="1" ht="25" customHeight="1" spans="1:11">
      <c r="A439" s="339">
        <v>429</v>
      </c>
      <c r="B439" s="340" t="s">
        <v>563</v>
      </c>
      <c r="C439" s="341" t="s">
        <v>967</v>
      </c>
      <c r="D439" s="342" t="s">
        <v>972</v>
      </c>
      <c r="E439" s="343">
        <v>4</v>
      </c>
      <c r="F439" s="343">
        <v>-4</v>
      </c>
      <c r="G439" s="343">
        <v>0</v>
      </c>
      <c r="H439" s="344"/>
      <c r="I439" s="354"/>
      <c r="J439" s="355">
        <v>1171</v>
      </c>
      <c r="K439" s="356"/>
    </row>
    <row r="440" s="327" customFormat="1" ht="25" customHeight="1" spans="1:11">
      <c r="A440" s="339">
        <v>430</v>
      </c>
      <c r="B440" s="340" t="s">
        <v>563</v>
      </c>
      <c r="C440" s="341" t="s">
        <v>967</v>
      </c>
      <c r="D440" s="342" t="s">
        <v>973</v>
      </c>
      <c r="E440" s="343">
        <v>200</v>
      </c>
      <c r="F440" s="343">
        <v>-200</v>
      </c>
      <c r="G440" s="343">
        <v>0</v>
      </c>
      <c r="H440" s="344"/>
      <c r="I440" s="354"/>
      <c r="J440" s="355">
        <v>1172</v>
      </c>
      <c r="K440" s="356"/>
    </row>
    <row r="441" s="327" customFormat="1" ht="25" customHeight="1" spans="1:11">
      <c r="A441" s="339">
        <v>431</v>
      </c>
      <c r="B441" s="340" t="s">
        <v>563</v>
      </c>
      <c r="C441" s="341" t="s">
        <v>967</v>
      </c>
      <c r="D441" s="342" t="s">
        <v>974</v>
      </c>
      <c r="E441" s="343">
        <v>0.66</v>
      </c>
      <c r="F441" s="343">
        <v>-0.345</v>
      </c>
      <c r="G441" s="343">
        <v>0.315</v>
      </c>
      <c r="H441" s="344"/>
      <c r="I441" s="354"/>
      <c r="J441" s="355">
        <v>1174</v>
      </c>
      <c r="K441" s="356"/>
    </row>
    <row r="442" s="327" customFormat="1" ht="25" customHeight="1" spans="1:11">
      <c r="A442" s="339">
        <v>432</v>
      </c>
      <c r="B442" s="340" t="s">
        <v>563</v>
      </c>
      <c r="C442" s="341" t="s">
        <v>967</v>
      </c>
      <c r="D442" s="342" t="s">
        <v>975</v>
      </c>
      <c r="E442" s="343">
        <v>4.29</v>
      </c>
      <c r="F442" s="343">
        <v>-0.962711</v>
      </c>
      <c r="G442" s="343">
        <v>3.327289</v>
      </c>
      <c r="H442" s="344"/>
      <c r="I442" s="354"/>
      <c r="J442" s="355">
        <v>1175</v>
      </c>
      <c r="K442" s="356"/>
    </row>
    <row r="443" s="327" customFormat="1" ht="25" customHeight="1" spans="1:11">
      <c r="A443" s="339">
        <v>433</v>
      </c>
      <c r="B443" s="340" t="s">
        <v>563</v>
      </c>
      <c r="C443" s="341" t="s">
        <v>967</v>
      </c>
      <c r="D443" s="342" t="s">
        <v>965</v>
      </c>
      <c r="E443" s="343">
        <v>100</v>
      </c>
      <c r="F443" s="343">
        <v>-100</v>
      </c>
      <c r="G443" s="343">
        <v>0</v>
      </c>
      <c r="H443" s="344"/>
      <c r="I443" s="354">
        <v>100</v>
      </c>
      <c r="J443" s="355">
        <v>1178</v>
      </c>
      <c r="K443" s="356">
        <v>50</v>
      </c>
    </row>
    <row r="444" s="327" customFormat="1" ht="25" customHeight="1" spans="1:11">
      <c r="A444" s="339">
        <v>434</v>
      </c>
      <c r="B444" s="340" t="s">
        <v>611</v>
      </c>
      <c r="C444" s="341" t="s">
        <v>976</v>
      </c>
      <c r="D444" s="342" t="s">
        <v>977</v>
      </c>
      <c r="E444" s="343">
        <v>14</v>
      </c>
      <c r="F444" s="343">
        <v>-14</v>
      </c>
      <c r="G444" s="343">
        <v>0</v>
      </c>
      <c r="H444" s="344"/>
      <c r="I444" s="354"/>
      <c r="J444" s="355">
        <v>922</v>
      </c>
      <c r="K444" s="356"/>
    </row>
    <row r="445" s="327" customFormat="1" ht="25" customHeight="1" spans="1:11">
      <c r="A445" s="339">
        <v>435</v>
      </c>
      <c r="B445" s="340" t="s">
        <v>611</v>
      </c>
      <c r="C445" s="341" t="s">
        <v>976</v>
      </c>
      <c r="D445" s="342" t="s">
        <v>978</v>
      </c>
      <c r="E445" s="343">
        <v>7</v>
      </c>
      <c r="F445" s="343">
        <v>-7</v>
      </c>
      <c r="G445" s="343">
        <v>0</v>
      </c>
      <c r="H445" s="344"/>
      <c r="I445" s="354">
        <v>7</v>
      </c>
      <c r="J445" s="355">
        <v>957</v>
      </c>
      <c r="K445" s="356">
        <v>7</v>
      </c>
    </row>
    <row r="446" s="327" customFormat="1" ht="25" customHeight="1" spans="1:11">
      <c r="A446" s="339">
        <v>436</v>
      </c>
      <c r="B446" s="340" t="s">
        <v>611</v>
      </c>
      <c r="C446" s="341" t="s">
        <v>976</v>
      </c>
      <c r="D446" s="342" t="s">
        <v>979</v>
      </c>
      <c r="E446" s="343">
        <v>24.16</v>
      </c>
      <c r="F446" s="343">
        <v>-13.82</v>
      </c>
      <c r="G446" s="343">
        <v>10.34</v>
      </c>
      <c r="H446" s="344"/>
      <c r="I446" s="354">
        <v>13</v>
      </c>
      <c r="J446" s="355">
        <v>963</v>
      </c>
      <c r="K446" s="356">
        <v>13</v>
      </c>
    </row>
    <row r="447" s="327" customFormat="1" ht="25" customHeight="1" spans="1:11">
      <c r="A447" s="339">
        <v>437</v>
      </c>
      <c r="B447" s="340" t="s">
        <v>611</v>
      </c>
      <c r="C447" s="341" t="s">
        <v>976</v>
      </c>
      <c r="D447" s="342" t="s">
        <v>980</v>
      </c>
      <c r="E447" s="343">
        <v>531.83</v>
      </c>
      <c r="F447" s="343">
        <v>-250.12</v>
      </c>
      <c r="G447" s="343">
        <v>281.71</v>
      </c>
      <c r="H447" s="344"/>
      <c r="I447" s="354">
        <v>250.12</v>
      </c>
      <c r="J447" s="355">
        <v>1196</v>
      </c>
      <c r="K447" s="356"/>
    </row>
    <row r="448" s="327" customFormat="1" ht="25" customHeight="1" spans="1:11">
      <c r="A448" s="339">
        <v>438</v>
      </c>
      <c r="B448" s="340" t="s">
        <v>611</v>
      </c>
      <c r="C448" s="341" t="s">
        <v>976</v>
      </c>
      <c r="D448" s="342" t="s">
        <v>981</v>
      </c>
      <c r="E448" s="343">
        <v>500</v>
      </c>
      <c r="F448" s="343">
        <v>-500</v>
      </c>
      <c r="G448" s="343">
        <v>0</v>
      </c>
      <c r="H448" s="344"/>
      <c r="I448" s="354"/>
      <c r="J448" s="355">
        <v>1197</v>
      </c>
      <c r="K448" s="356"/>
    </row>
    <row r="449" s="327" customFormat="1" ht="25" customHeight="1" spans="1:11">
      <c r="A449" s="339">
        <v>439</v>
      </c>
      <c r="B449" s="340" t="s">
        <v>611</v>
      </c>
      <c r="C449" s="341" t="s">
        <v>976</v>
      </c>
      <c r="D449" s="342" t="s">
        <v>982</v>
      </c>
      <c r="E449" s="343">
        <v>800</v>
      </c>
      <c r="F449" s="343">
        <v>-800</v>
      </c>
      <c r="G449" s="343">
        <v>0</v>
      </c>
      <c r="H449" s="344"/>
      <c r="I449" s="354"/>
      <c r="J449" s="355">
        <v>1198</v>
      </c>
      <c r="K449" s="356"/>
    </row>
    <row r="450" s="327" customFormat="1" ht="25" customHeight="1" spans="1:11">
      <c r="A450" s="339">
        <v>440</v>
      </c>
      <c r="B450" s="340" t="s">
        <v>563</v>
      </c>
      <c r="C450" s="341" t="s">
        <v>976</v>
      </c>
      <c r="D450" s="342" t="s">
        <v>983</v>
      </c>
      <c r="E450" s="343">
        <v>257.46</v>
      </c>
      <c r="F450" s="343">
        <v>-11</v>
      </c>
      <c r="G450" s="343">
        <v>246.46</v>
      </c>
      <c r="H450" s="344"/>
      <c r="I450" s="354"/>
      <c r="J450" s="355">
        <v>935</v>
      </c>
      <c r="K450" s="356"/>
    </row>
    <row r="451" s="327" customFormat="1" ht="25" customHeight="1" spans="1:11">
      <c r="A451" s="339">
        <v>441</v>
      </c>
      <c r="B451" s="340" t="s">
        <v>563</v>
      </c>
      <c r="C451" s="341" t="s">
        <v>976</v>
      </c>
      <c r="D451" s="342" t="s">
        <v>984</v>
      </c>
      <c r="E451" s="343">
        <v>28.08</v>
      </c>
      <c r="F451" s="343">
        <v>-15.7708</v>
      </c>
      <c r="G451" s="343">
        <v>12.3092</v>
      </c>
      <c r="H451" s="344"/>
      <c r="I451" s="354"/>
      <c r="J451" s="355">
        <v>1056</v>
      </c>
      <c r="K451" s="356"/>
    </row>
    <row r="452" s="327" customFormat="1" ht="25" customHeight="1" spans="1:11">
      <c r="A452" s="339">
        <v>442</v>
      </c>
      <c r="B452" s="340" t="s">
        <v>563</v>
      </c>
      <c r="C452" s="341" t="s">
        <v>976</v>
      </c>
      <c r="D452" s="342" t="s">
        <v>985</v>
      </c>
      <c r="E452" s="343">
        <v>36.1</v>
      </c>
      <c r="F452" s="343">
        <v>-18.05</v>
      </c>
      <c r="G452" s="343">
        <v>18.05</v>
      </c>
      <c r="H452" s="344"/>
      <c r="I452" s="354"/>
      <c r="J452" s="355">
        <v>1058</v>
      </c>
      <c r="K452" s="356"/>
    </row>
    <row r="453" s="327" customFormat="1" ht="25" customHeight="1" spans="1:11">
      <c r="A453" s="339">
        <v>443</v>
      </c>
      <c r="B453" s="340" t="s">
        <v>563</v>
      </c>
      <c r="C453" s="341" t="s">
        <v>976</v>
      </c>
      <c r="D453" s="342" t="s">
        <v>986</v>
      </c>
      <c r="E453" s="343">
        <v>76.04</v>
      </c>
      <c r="F453" s="343">
        <v>-76.04</v>
      </c>
      <c r="G453" s="343">
        <v>0</v>
      </c>
      <c r="H453" s="344"/>
      <c r="I453" s="354">
        <v>76.04</v>
      </c>
      <c r="J453" s="355">
        <v>1086</v>
      </c>
      <c r="K453" s="356">
        <v>76.04</v>
      </c>
    </row>
    <row r="454" s="327" customFormat="1" ht="25" customHeight="1" spans="1:11">
      <c r="A454" s="339">
        <v>444</v>
      </c>
      <c r="B454" s="340" t="s">
        <v>563</v>
      </c>
      <c r="C454" s="341" t="s">
        <v>976</v>
      </c>
      <c r="D454" s="342" t="s">
        <v>987</v>
      </c>
      <c r="E454" s="343">
        <v>30</v>
      </c>
      <c r="F454" s="343">
        <v>-30</v>
      </c>
      <c r="G454" s="343">
        <v>0</v>
      </c>
      <c r="H454" s="344"/>
      <c r="I454" s="354"/>
      <c r="J454" s="355">
        <v>1087</v>
      </c>
      <c r="K454" s="356"/>
    </row>
    <row r="455" s="327" customFormat="1" ht="25" customHeight="1" spans="1:11">
      <c r="A455" s="339">
        <v>445</v>
      </c>
      <c r="B455" s="340" t="s">
        <v>563</v>
      </c>
      <c r="C455" s="341" t="s">
        <v>976</v>
      </c>
      <c r="D455" s="342" t="s">
        <v>988</v>
      </c>
      <c r="E455" s="343">
        <v>58.7</v>
      </c>
      <c r="F455" s="343">
        <v>-29.35</v>
      </c>
      <c r="G455" s="343">
        <v>29.35</v>
      </c>
      <c r="H455" s="344"/>
      <c r="I455" s="354"/>
      <c r="J455" s="355">
        <v>1088</v>
      </c>
      <c r="K455" s="356"/>
    </row>
    <row r="456" s="327" customFormat="1" ht="25" customHeight="1" spans="1:11">
      <c r="A456" s="339">
        <v>446</v>
      </c>
      <c r="B456" s="340" t="s">
        <v>563</v>
      </c>
      <c r="C456" s="341" t="s">
        <v>976</v>
      </c>
      <c r="D456" s="342" t="s">
        <v>989</v>
      </c>
      <c r="E456" s="343">
        <v>250</v>
      </c>
      <c r="F456" s="343">
        <v>-22.18</v>
      </c>
      <c r="G456" s="343">
        <v>227.82</v>
      </c>
      <c r="H456" s="344"/>
      <c r="I456" s="354">
        <v>22.18</v>
      </c>
      <c r="J456" s="355">
        <v>1089</v>
      </c>
      <c r="K456" s="356">
        <v>22</v>
      </c>
    </row>
    <row r="457" s="327" customFormat="1" ht="25" customHeight="1" spans="1:11">
      <c r="A457" s="339">
        <v>447</v>
      </c>
      <c r="B457" s="340" t="s">
        <v>563</v>
      </c>
      <c r="C457" s="341" t="s">
        <v>976</v>
      </c>
      <c r="D457" s="342" t="s">
        <v>990</v>
      </c>
      <c r="E457" s="343">
        <v>573</v>
      </c>
      <c r="F457" s="343">
        <v>-563</v>
      </c>
      <c r="G457" s="343">
        <v>10</v>
      </c>
      <c r="H457" s="344"/>
      <c r="I457" s="354">
        <v>563</v>
      </c>
      <c r="J457" s="355">
        <v>1090</v>
      </c>
      <c r="K457" s="356">
        <v>563</v>
      </c>
    </row>
    <row r="458" s="327" customFormat="1" ht="25" customHeight="1" spans="1:11">
      <c r="A458" s="339">
        <v>448</v>
      </c>
      <c r="B458" s="340" t="s">
        <v>563</v>
      </c>
      <c r="C458" s="341" t="s">
        <v>976</v>
      </c>
      <c r="D458" s="342" t="s">
        <v>991</v>
      </c>
      <c r="E458" s="343">
        <v>400</v>
      </c>
      <c r="F458" s="343">
        <v>-400</v>
      </c>
      <c r="G458" s="343">
        <v>0</v>
      </c>
      <c r="H458" s="344"/>
      <c r="I458" s="354">
        <v>400</v>
      </c>
      <c r="J458" s="355">
        <v>1091</v>
      </c>
      <c r="K458" s="356"/>
    </row>
    <row r="459" s="327" customFormat="1" ht="25" customHeight="1" spans="1:11">
      <c r="A459" s="339">
        <v>449</v>
      </c>
      <c r="B459" s="340" t="s">
        <v>563</v>
      </c>
      <c r="C459" s="341" t="s">
        <v>976</v>
      </c>
      <c r="D459" s="342" t="s">
        <v>992</v>
      </c>
      <c r="E459" s="343">
        <v>291.6</v>
      </c>
      <c r="F459" s="343">
        <v>-148.6</v>
      </c>
      <c r="G459" s="343">
        <v>143</v>
      </c>
      <c r="H459" s="344"/>
      <c r="I459" s="354"/>
      <c r="J459" s="355">
        <v>1092</v>
      </c>
      <c r="K459" s="356"/>
    </row>
    <row r="460" s="327" customFormat="1" ht="25" customHeight="1" spans="1:11">
      <c r="A460" s="339">
        <v>450</v>
      </c>
      <c r="B460" s="340" t="s">
        <v>563</v>
      </c>
      <c r="C460" s="341" t="s">
        <v>976</v>
      </c>
      <c r="D460" s="342" t="s">
        <v>993</v>
      </c>
      <c r="E460" s="343">
        <v>243</v>
      </c>
      <c r="F460" s="343">
        <v>-195.88</v>
      </c>
      <c r="G460" s="343">
        <v>47.12</v>
      </c>
      <c r="H460" s="344"/>
      <c r="I460" s="354"/>
      <c r="J460" s="355">
        <v>1093</v>
      </c>
      <c r="K460" s="356"/>
    </row>
    <row r="461" s="327" customFormat="1" ht="25" customHeight="1" spans="1:11">
      <c r="A461" s="339">
        <v>451</v>
      </c>
      <c r="B461" s="340" t="s">
        <v>563</v>
      </c>
      <c r="C461" s="341" t="s">
        <v>976</v>
      </c>
      <c r="D461" s="342" t="s">
        <v>994</v>
      </c>
      <c r="E461" s="343">
        <v>30</v>
      </c>
      <c r="F461" s="343">
        <v>-28</v>
      </c>
      <c r="G461" s="343">
        <v>2</v>
      </c>
      <c r="H461" s="344"/>
      <c r="I461" s="354">
        <v>28</v>
      </c>
      <c r="J461" s="355">
        <v>1095</v>
      </c>
      <c r="K461" s="356"/>
    </row>
    <row r="462" s="327" customFormat="1" ht="25" customHeight="1" spans="1:11">
      <c r="A462" s="339">
        <v>452</v>
      </c>
      <c r="B462" s="340" t="s">
        <v>563</v>
      </c>
      <c r="C462" s="341" t="s">
        <v>976</v>
      </c>
      <c r="D462" s="342" t="s">
        <v>995</v>
      </c>
      <c r="E462" s="343">
        <v>70</v>
      </c>
      <c r="F462" s="343">
        <v>-70</v>
      </c>
      <c r="G462" s="343">
        <v>0</v>
      </c>
      <c r="H462" s="344"/>
      <c r="I462" s="354">
        <v>70</v>
      </c>
      <c r="J462" s="355">
        <v>1096</v>
      </c>
      <c r="K462" s="356"/>
    </row>
    <row r="463" s="327" customFormat="1" ht="25" customHeight="1" spans="1:11">
      <c r="A463" s="339">
        <v>453</v>
      </c>
      <c r="B463" s="340" t="s">
        <v>563</v>
      </c>
      <c r="C463" s="341" t="s">
        <v>976</v>
      </c>
      <c r="D463" s="342" t="s">
        <v>996</v>
      </c>
      <c r="E463" s="343">
        <v>50</v>
      </c>
      <c r="F463" s="343">
        <v>-50</v>
      </c>
      <c r="G463" s="343">
        <v>0</v>
      </c>
      <c r="H463" s="344"/>
      <c r="I463" s="354"/>
      <c r="J463" s="355">
        <v>1097</v>
      </c>
      <c r="K463" s="356"/>
    </row>
    <row r="464" s="327" customFormat="1" ht="25" customHeight="1" spans="1:11">
      <c r="A464" s="339">
        <v>454</v>
      </c>
      <c r="B464" s="340" t="s">
        <v>563</v>
      </c>
      <c r="C464" s="341" t="s">
        <v>976</v>
      </c>
      <c r="D464" s="342" t="s">
        <v>997</v>
      </c>
      <c r="E464" s="343">
        <v>7</v>
      </c>
      <c r="F464" s="343">
        <v>-7</v>
      </c>
      <c r="G464" s="343">
        <v>0</v>
      </c>
      <c r="H464" s="344"/>
      <c r="I464" s="354"/>
      <c r="J464" s="355">
        <v>1098</v>
      </c>
      <c r="K464" s="356"/>
    </row>
    <row r="465" s="327" customFormat="1" ht="25" customHeight="1" spans="1:11">
      <c r="A465" s="339">
        <v>455</v>
      </c>
      <c r="B465" s="340" t="s">
        <v>563</v>
      </c>
      <c r="C465" s="341" t="s">
        <v>976</v>
      </c>
      <c r="D465" s="342" t="s">
        <v>998</v>
      </c>
      <c r="E465" s="343">
        <v>8</v>
      </c>
      <c r="F465" s="343">
        <v>-6</v>
      </c>
      <c r="G465" s="343">
        <v>2</v>
      </c>
      <c r="H465" s="344"/>
      <c r="I465" s="354"/>
      <c r="J465" s="355">
        <v>1102</v>
      </c>
      <c r="K465" s="356"/>
    </row>
    <row r="466" s="327" customFormat="1" ht="25" customHeight="1" spans="1:11">
      <c r="A466" s="339">
        <v>456</v>
      </c>
      <c r="B466" s="340" t="s">
        <v>563</v>
      </c>
      <c r="C466" s="341" t="s">
        <v>976</v>
      </c>
      <c r="D466" s="342" t="s">
        <v>999</v>
      </c>
      <c r="E466" s="343">
        <v>50</v>
      </c>
      <c r="F466" s="343">
        <v>-38</v>
      </c>
      <c r="G466" s="343">
        <v>12</v>
      </c>
      <c r="H466" s="344"/>
      <c r="I466" s="354">
        <v>38</v>
      </c>
      <c r="J466" s="355">
        <v>1104</v>
      </c>
      <c r="K466" s="356"/>
    </row>
    <row r="467" s="327" customFormat="1" ht="25" customHeight="1" spans="1:11">
      <c r="A467" s="339">
        <v>457</v>
      </c>
      <c r="B467" s="340" t="s">
        <v>563</v>
      </c>
      <c r="C467" s="341" t="s">
        <v>976</v>
      </c>
      <c r="D467" s="342" t="s">
        <v>1000</v>
      </c>
      <c r="E467" s="343">
        <v>50</v>
      </c>
      <c r="F467" s="343">
        <v>-20</v>
      </c>
      <c r="G467" s="343">
        <v>30</v>
      </c>
      <c r="H467" s="344"/>
      <c r="I467" s="354">
        <v>20</v>
      </c>
      <c r="J467" s="355">
        <v>1105</v>
      </c>
      <c r="K467" s="356"/>
    </row>
    <row r="468" s="327" customFormat="1" ht="25" customHeight="1" spans="1:11">
      <c r="A468" s="339">
        <v>458</v>
      </c>
      <c r="B468" s="340" t="s">
        <v>563</v>
      </c>
      <c r="C468" s="341" t="s">
        <v>976</v>
      </c>
      <c r="D468" s="342" t="s">
        <v>1001</v>
      </c>
      <c r="E468" s="343">
        <v>12</v>
      </c>
      <c r="F468" s="343">
        <v>-0.01</v>
      </c>
      <c r="G468" s="343">
        <v>11.99</v>
      </c>
      <c r="H468" s="344"/>
      <c r="I468" s="354"/>
      <c r="J468" s="355">
        <v>1106</v>
      </c>
      <c r="K468" s="356"/>
    </row>
    <row r="469" s="327" customFormat="1" ht="25" customHeight="1" spans="1:11">
      <c r="A469" s="339">
        <v>459</v>
      </c>
      <c r="B469" s="340" t="s">
        <v>563</v>
      </c>
      <c r="C469" s="341" t="s">
        <v>976</v>
      </c>
      <c r="D469" s="342" t="s">
        <v>1002</v>
      </c>
      <c r="E469" s="343">
        <v>12</v>
      </c>
      <c r="F469" s="343">
        <v>-10</v>
      </c>
      <c r="G469" s="343">
        <v>2</v>
      </c>
      <c r="H469" s="344"/>
      <c r="I469" s="354"/>
      <c r="J469" s="355">
        <v>1107</v>
      </c>
      <c r="K469" s="356"/>
    </row>
    <row r="470" s="327" customFormat="1" ht="25" customHeight="1" spans="1:11">
      <c r="A470" s="339">
        <v>460</v>
      </c>
      <c r="B470" s="340" t="s">
        <v>563</v>
      </c>
      <c r="C470" s="341" t="s">
        <v>976</v>
      </c>
      <c r="D470" s="342" t="s">
        <v>1003</v>
      </c>
      <c r="E470" s="343">
        <v>40</v>
      </c>
      <c r="F470" s="343">
        <v>-28</v>
      </c>
      <c r="G470" s="343">
        <v>12</v>
      </c>
      <c r="H470" s="344"/>
      <c r="I470" s="354">
        <v>28</v>
      </c>
      <c r="J470" s="355">
        <v>1109</v>
      </c>
      <c r="K470" s="356"/>
    </row>
    <row r="471" s="327" customFormat="1" ht="25" customHeight="1" spans="1:11">
      <c r="A471" s="339">
        <v>461</v>
      </c>
      <c r="B471" s="340" t="s">
        <v>563</v>
      </c>
      <c r="C471" s="341" t="s">
        <v>976</v>
      </c>
      <c r="D471" s="342" t="s">
        <v>965</v>
      </c>
      <c r="E471" s="343">
        <v>3328</v>
      </c>
      <c r="F471" s="343">
        <v>-3198</v>
      </c>
      <c r="G471" s="343">
        <v>130</v>
      </c>
      <c r="H471" s="344"/>
      <c r="I471" s="354">
        <v>566</v>
      </c>
      <c r="J471" s="355">
        <v>1110</v>
      </c>
      <c r="K471" s="356">
        <v>300</v>
      </c>
    </row>
    <row r="472" s="327" customFormat="1" ht="25" customHeight="1" spans="1:11">
      <c r="A472" s="339">
        <v>462</v>
      </c>
      <c r="B472" s="340" t="s">
        <v>563</v>
      </c>
      <c r="C472" s="341" t="s">
        <v>976</v>
      </c>
      <c r="D472" s="342" t="s">
        <v>1004</v>
      </c>
      <c r="E472" s="343">
        <v>11.58</v>
      </c>
      <c r="F472" s="343">
        <v>-11.58</v>
      </c>
      <c r="G472" s="343">
        <v>0</v>
      </c>
      <c r="H472" s="344"/>
      <c r="I472" s="354"/>
      <c r="J472" s="355">
        <v>1202</v>
      </c>
      <c r="K472" s="356"/>
    </row>
    <row r="473" s="327" customFormat="1" ht="25" customHeight="1" spans="1:11">
      <c r="A473" s="339">
        <v>463</v>
      </c>
      <c r="B473" s="340" t="s">
        <v>521</v>
      </c>
      <c r="C473" s="341" t="s">
        <v>976</v>
      </c>
      <c r="D473" s="342" t="s">
        <v>524</v>
      </c>
      <c r="E473" s="343">
        <v>13</v>
      </c>
      <c r="F473" s="343">
        <v>-10.19</v>
      </c>
      <c r="G473" s="343">
        <v>2.81</v>
      </c>
      <c r="H473" s="344"/>
      <c r="I473" s="354">
        <v>10.19</v>
      </c>
      <c r="J473" s="355">
        <v>2347</v>
      </c>
      <c r="K473" s="356"/>
    </row>
    <row r="474" s="327" customFormat="1" ht="25" customHeight="1" spans="1:11">
      <c r="A474" s="339">
        <v>464</v>
      </c>
      <c r="B474" s="340" t="s">
        <v>572</v>
      </c>
      <c r="C474" s="341" t="s">
        <v>976</v>
      </c>
      <c r="D474" s="342" t="s">
        <v>1005</v>
      </c>
      <c r="E474" s="343">
        <v>60</v>
      </c>
      <c r="F474" s="343">
        <v>-38.94</v>
      </c>
      <c r="G474" s="343">
        <v>21.06</v>
      </c>
      <c r="H474" s="344"/>
      <c r="I474" s="354"/>
      <c r="J474" s="355">
        <v>1085</v>
      </c>
      <c r="K474" s="356"/>
    </row>
    <row r="475" s="327" customFormat="1" ht="25" customHeight="1" spans="1:11">
      <c r="A475" s="339">
        <v>465</v>
      </c>
      <c r="B475" s="340" t="s">
        <v>563</v>
      </c>
      <c r="C475" s="341" t="s">
        <v>976</v>
      </c>
      <c r="D475" s="342" t="s">
        <v>1006</v>
      </c>
      <c r="E475" s="343">
        <v>3</v>
      </c>
      <c r="F475" s="343">
        <v>-3</v>
      </c>
      <c r="G475" s="343">
        <v>0</v>
      </c>
      <c r="H475" s="344"/>
      <c r="I475" s="354"/>
      <c r="J475" s="355">
        <v>943</v>
      </c>
      <c r="K475" s="356"/>
    </row>
    <row r="476" s="327" customFormat="1" ht="25" customHeight="1" spans="1:11">
      <c r="A476" s="339">
        <v>466</v>
      </c>
      <c r="B476" s="340" t="s">
        <v>563</v>
      </c>
      <c r="C476" s="341" t="s">
        <v>976</v>
      </c>
      <c r="D476" s="342" t="s">
        <v>1007</v>
      </c>
      <c r="E476" s="343">
        <v>3.15</v>
      </c>
      <c r="F476" s="343">
        <v>-3.15</v>
      </c>
      <c r="G476" s="343">
        <v>0</v>
      </c>
      <c r="H476" s="344"/>
      <c r="I476" s="354"/>
      <c r="J476" s="355">
        <v>944</v>
      </c>
      <c r="K476" s="356"/>
    </row>
    <row r="477" s="327" customFormat="1" ht="25" customHeight="1" spans="1:11">
      <c r="A477" s="339">
        <v>467</v>
      </c>
      <c r="B477" s="340" t="s">
        <v>563</v>
      </c>
      <c r="C477" s="341" t="s">
        <v>976</v>
      </c>
      <c r="D477" s="342" t="s">
        <v>1008</v>
      </c>
      <c r="E477" s="343">
        <v>20</v>
      </c>
      <c r="F477" s="343">
        <v>-11</v>
      </c>
      <c r="G477" s="343">
        <v>9</v>
      </c>
      <c r="H477" s="344"/>
      <c r="I477" s="354">
        <v>11</v>
      </c>
      <c r="J477" s="355">
        <v>1126</v>
      </c>
      <c r="K477" s="356"/>
    </row>
    <row r="478" s="327" customFormat="1" ht="25" customHeight="1" spans="1:11">
      <c r="A478" s="339">
        <v>468</v>
      </c>
      <c r="B478" s="340" t="s">
        <v>563</v>
      </c>
      <c r="C478" s="341" t="s">
        <v>976</v>
      </c>
      <c r="D478" s="342" t="s">
        <v>1009</v>
      </c>
      <c r="E478" s="343">
        <v>42</v>
      </c>
      <c r="F478" s="343">
        <v>-42</v>
      </c>
      <c r="G478" s="343">
        <v>0</v>
      </c>
      <c r="H478" s="344"/>
      <c r="I478" s="354"/>
      <c r="J478" s="355">
        <v>1130</v>
      </c>
      <c r="K478" s="356"/>
    </row>
    <row r="479" s="327" customFormat="1" ht="25" customHeight="1" spans="1:11">
      <c r="A479" s="339">
        <v>469</v>
      </c>
      <c r="B479" s="340" t="s">
        <v>563</v>
      </c>
      <c r="C479" s="341" t="s">
        <v>976</v>
      </c>
      <c r="D479" s="342" t="s">
        <v>990</v>
      </c>
      <c r="E479" s="343">
        <v>18</v>
      </c>
      <c r="F479" s="343">
        <v>-18</v>
      </c>
      <c r="G479" s="343">
        <v>0</v>
      </c>
      <c r="H479" s="344"/>
      <c r="I479" s="354"/>
      <c r="J479" s="355">
        <v>1131</v>
      </c>
      <c r="K479" s="356"/>
    </row>
    <row r="480" s="327" customFormat="1" ht="25" customHeight="1" spans="1:11">
      <c r="A480" s="339">
        <v>470</v>
      </c>
      <c r="B480" s="340" t="s">
        <v>563</v>
      </c>
      <c r="C480" s="341" t="s">
        <v>976</v>
      </c>
      <c r="D480" s="342" t="s">
        <v>1010</v>
      </c>
      <c r="E480" s="343">
        <v>8</v>
      </c>
      <c r="F480" s="343">
        <v>-8</v>
      </c>
      <c r="G480" s="343">
        <v>0</v>
      </c>
      <c r="H480" s="344"/>
      <c r="I480" s="354"/>
      <c r="J480" s="355">
        <v>1132</v>
      </c>
      <c r="K480" s="356"/>
    </row>
    <row r="481" s="327" customFormat="1" ht="25" customHeight="1" spans="1:11">
      <c r="A481" s="339">
        <v>471</v>
      </c>
      <c r="B481" s="340" t="s">
        <v>563</v>
      </c>
      <c r="C481" s="341" t="s">
        <v>976</v>
      </c>
      <c r="D481" s="342" t="s">
        <v>1011</v>
      </c>
      <c r="E481" s="343">
        <v>7</v>
      </c>
      <c r="F481" s="343">
        <v>-7</v>
      </c>
      <c r="G481" s="343">
        <v>0</v>
      </c>
      <c r="H481" s="344"/>
      <c r="I481" s="354"/>
      <c r="J481" s="355">
        <v>1133</v>
      </c>
      <c r="K481" s="356"/>
    </row>
    <row r="482" s="327" customFormat="1" ht="25" customHeight="1" spans="1:11">
      <c r="A482" s="339">
        <v>472</v>
      </c>
      <c r="B482" s="340" t="s">
        <v>563</v>
      </c>
      <c r="C482" s="341" t="s">
        <v>976</v>
      </c>
      <c r="D482" s="342" t="s">
        <v>1012</v>
      </c>
      <c r="E482" s="343">
        <v>4.58</v>
      </c>
      <c r="F482" s="343">
        <v>-4.58</v>
      </c>
      <c r="G482" s="343">
        <v>0</v>
      </c>
      <c r="H482" s="344"/>
      <c r="I482" s="354"/>
      <c r="J482" s="355">
        <v>1134</v>
      </c>
      <c r="K482" s="356"/>
    </row>
    <row r="483" s="327" customFormat="1" ht="25" customHeight="1" spans="1:11">
      <c r="A483" s="339">
        <v>473</v>
      </c>
      <c r="B483" s="340" t="s">
        <v>563</v>
      </c>
      <c r="C483" s="341" t="s">
        <v>976</v>
      </c>
      <c r="D483" s="342" t="s">
        <v>1013</v>
      </c>
      <c r="E483" s="343">
        <v>2</v>
      </c>
      <c r="F483" s="343">
        <v>-2</v>
      </c>
      <c r="G483" s="343">
        <v>0</v>
      </c>
      <c r="H483" s="344"/>
      <c r="I483" s="354"/>
      <c r="J483" s="355">
        <v>1135</v>
      </c>
      <c r="K483" s="356"/>
    </row>
    <row r="484" s="327" customFormat="1" ht="25" customHeight="1" spans="1:11">
      <c r="A484" s="339">
        <v>474</v>
      </c>
      <c r="B484" s="340" t="s">
        <v>563</v>
      </c>
      <c r="C484" s="341" t="s">
        <v>976</v>
      </c>
      <c r="D484" s="342" t="s">
        <v>1014</v>
      </c>
      <c r="E484" s="343">
        <v>2.86</v>
      </c>
      <c r="F484" s="343">
        <v>-2.86</v>
      </c>
      <c r="G484" s="343">
        <v>0</v>
      </c>
      <c r="H484" s="344"/>
      <c r="I484" s="354"/>
      <c r="J484" s="355">
        <v>1136</v>
      </c>
      <c r="K484" s="356"/>
    </row>
    <row r="485" s="327" customFormat="1" ht="25" customHeight="1" spans="1:11">
      <c r="A485" s="339">
        <v>475</v>
      </c>
      <c r="B485" s="340" t="s">
        <v>563</v>
      </c>
      <c r="C485" s="341" t="s">
        <v>976</v>
      </c>
      <c r="D485" s="342" t="s">
        <v>1015</v>
      </c>
      <c r="E485" s="343">
        <v>30</v>
      </c>
      <c r="F485" s="343">
        <v>-30</v>
      </c>
      <c r="G485" s="343">
        <v>0</v>
      </c>
      <c r="H485" s="344"/>
      <c r="I485" s="354"/>
      <c r="J485" s="355">
        <v>1137</v>
      </c>
      <c r="K485" s="356"/>
    </row>
    <row r="486" s="327" customFormat="1" ht="25" customHeight="1" spans="1:11">
      <c r="A486" s="339">
        <v>476</v>
      </c>
      <c r="B486" s="340" t="s">
        <v>563</v>
      </c>
      <c r="C486" s="341" t="s">
        <v>976</v>
      </c>
      <c r="D486" s="342" t="s">
        <v>991</v>
      </c>
      <c r="E486" s="343">
        <v>450</v>
      </c>
      <c r="F486" s="343">
        <v>-450</v>
      </c>
      <c r="G486" s="343">
        <v>0</v>
      </c>
      <c r="H486" s="344"/>
      <c r="I486" s="354">
        <v>450</v>
      </c>
      <c r="J486" s="355">
        <v>1138</v>
      </c>
      <c r="K486" s="356"/>
    </row>
    <row r="487" s="327" customFormat="1" ht="25" customHeight="1" spans="1:11">
      <c r="A487" s="339">
        <v>477</v>
      </c>
      <c r="B487" s="340" t="s">
        <v>563</v>
      </c>
      <c r="C487" s="341" t="s">
        <v>976</v>
      </c>
      <c r="D487" s="342" t="s">
        <v>1016</v>
      </c>
      <c r="E487" s="343">
        <v>29.25</v>
      </c>
      <c r="F487" s="343">
        <v>-29.25</v>
      </c>
      <c r="G487" s="343">
        <v>0</v>
      </c>
      <c r="H487" s="344"/>
      <c r="I487" s="354"/>
      <c r="J487" s="355">
        <v>1139</v>
      </c>
      <c r="K487" s="356"/>
    </row>
    <row r="488" s="327" customFormat="1" ht="25" customHeight="1" spans="1:11">
      <c r="A488" s="339">
        <v>478</v>
      </c>
      <c r="B488" s="340" t="s">
        <v>563</v>
      </c>
      <c r="C488" s="341" t="s">
        <v>976</v>
      </c>
      <c r="D488" s="342" t="s">
        <v>1017</v>
      </c>
      <c r="E488" s="343">
        <v>462.36</v>
      </c>
      <c r="F488" s="343">
        <v>-462.36</v>
      </c>
      <c r="G488" s="343">
        <v>0</v>
      </c>
      <c r="H488" s="344"/>
      <c r="I488" s="354"/>
      <c r="J488" s="355">
        <v>1140</v>
      </c>
      <c r="K488" s="356"/>
    </row>
    <row r="489" s="327" customFormat="1" ht="25" customHeight="1" spans="1:11">
      <c r="A489" s="339">
        <v>479</v>
      </c>
      <c r="B489" s="340" t="s">
        <v>563</v>
      </c>
      <c r="C489" s="341" t="s">
        <v>976</v>
      </c>
      <c r="D489" s="342" t="s">
        <v>1018</v>
      </c>
      <c r="E489" s="343">
        <v>30</v>
      </c>
      <c r="F489" s="343">
        <v>-30</v>
      </c>
      <c r="G489" s="343">
        <v>0</v>
      </c>
      <c r="H489" s="344"/>
      <c r="I489" s="359">
        <v>8</v>
      </c>
      <c r="J489" s="355">
        <v>1141</v>
      </c>
      <c r="K489" s="356">
        <v>8</v>
      </c>
    </row>
    <row r="490" s="327" customFormat="1" ht="25" customHeight="1" spans="1:11">
      <c r="A490" s="339">
        <v>480</v>
      </c>
      <c r="B490" s="340" t="s">
        <v>563</v>
      </c>
      <c r="C490" s="341" t="s">
        <v>976</v>
      </c>
      <c r="D490" s="342" t="s">
        <v>1019</v>
      </c>
      <c r="E490" s="343">
        <v>10</v>
      </c>
      <c r="F490" s="343">
        <v>-10</v>
      </c>
      <c r="G490" s="343">
        <v>0</v>
      </c>
      <c r="H490" s="344"/>
      <c r="I490" s="354"/>
      <c r="J490" s="355">
        <v>1144</v>
      </c>
      <c r="K490" s="356"/>
    </row>
    <row r="491" s="327" customFormat="1" ht="25" customHeight="1" spans="1:11">
      <c r="A491" s="339">
        <v>481</v>
      </c>
      <c r="B491" s="340" t="s">
        <v>563</v>
      </c>
      <c r="C491" s="341" t="s">
        <v>976</v>
      </c>
      <c r="D491" s="342" t="s">
        <v>989</v>
      </c>
      <c r="E491" s="343">
        <v>19.56</v>
      </c>
      <c r="F491" s="343">
        <v>-19.56</v>
      </c>
      <c r="G491" s="343">
        <v>0</v>
      </c>
      <c r="H491" s="344"/>
      <c r="I491" s="354"/>
      <c r="J491" s="355">
        <v>1145</v>
      </c>
      <c r="K491" s="356"/>
    </row>
    <row r="492" s="327" customFormat="1" ht="25" customHeight="1" spans="1:11">
      <c r="A492" s="339">
        <v>482</v>
      </c>
      <c r="B492" s="340" t="s">
        <v>563</v>
      </c>
      <c r="C492" s="341" t="s">
        <v>976</v>
      </c>
      <c r="D492" s="342" t="s">
        <v>1020</v>
      </c>
      <c r="E492" s="343">
        <v>1.21</v>
      </c>
      <c r="F492" s="343">
        <v>-1.21</v>
      </c>
      <c r="G492" s="343">
        <v>0</v>
      </c>
      <c r="H492" s="344"/>
      <c r="I492" s="354"/>
      <c r="J492" s="355">
        <v>1168</v>
      </c>
      <c r="K492" s="356"/>
    </row>
    <row r="493" s="327" customFormat="1" ht="25" customHeight="1" spans="1:11">
      <c r="A493" s="339">
        <v>483</v>
      </c>
      <c r="B493" s="340" t="s">
        <v>563</v>
      </c>
      <c r="C493" s="341" t="s">
        <v>976</v>
      </c>
      <c r="D493" s="342" t="s">
        <v>1021</v>
      </c>
      <c r="E493" s="343">
        <v>13.5</v>
      </c>
      <c r="F493" s="343">
        <v>-13.5</v>
      </c>
      <c r="G493" s="343">
        <v>0</v>
      </c>
      <c r="H493" s="344"/>
      <c r="I493" s="354"/>
      <c r="J493" s="355">
        <v>1188</v>
      </c>
      <c r="K493" s="356"/>
    </row>
    <row r="494" s="327" customFormat="1" ht="25" customHeight="1" spans="1:11">
      <c r="A494" s="339">
        <v>484</v>
      </c>
      <c r="B494" s="340" t="s">
        <v>563</v>
      </c>
      <c r="C494" s="341" t="s">
        <v>976</v>
      </c>
      <c r="D494" s="342" t="s">
        <v>1022</v>
      </c>
      <c r="E494" s="343">
        <v>9.3</v>
      </c>
      <c r="F494" s="343">
        <v>-9.3</v>
      </c>
      <c r="G494" s="343">
        <v>0</v>
      </c>
      <c r="H494" s="344"/>
      <c r="I494" s="354"/>
      <c r="J494" s="355">
        <v>1189</v>
      </c>
      <c r="K494" s="356"/>
    </row>
    <row r="495" s="327" customFormat="1" ht="25" customHeight="1" spans="1:11">
      <c r="A495" s="339">
        <v>485</v>
      </c>
      <c r="B495" s="340" t="s">
        <v>563</v>
      </c>
      <c r="C495" s="341" t="s">
        <v>976</v>
      </c>
      <c r="D495" s="342" t="s">
        <v>1023</v>
      </c>
      <c r="E495" s="343">
        <v>11.05</v>
      </c>
      <c r="F495" s="343">
        <v>-11.05</v>
      </c>
      <c r="G495" s="343">
        <v>0</v>
      </c>
      <c r="H495" s="344"/>
      <c r="I495" s="354">
        <v>11.05</v>
      </c>
      <c r="J495" s="355">
        <v>1190</v>
      </c>
      <c r="K495" s="356">
        <v>11.05</v>
      </c>
    </row>
    <row r="496" s="327" customFormat="1" ht="25" customHeight="1" spans="1:11">
      <c r="A496" s="339">
        <v>486</v>
      </c>
      <c r="B496" s="340" t="s">
        <v>572</v>
      </c>
      <c r="C496" s="341" t="s">
        <v>1024</v>
      </c>
      <c r="D496" s="342" t="s">
        <v>1025</v>
      </c>
      <c r="E496" s="343">
        <v>470.8</v>
      </c>
      <c r="F496" s="343">
        <v>-140.06</v>
      </c>
      <c r="G496" s="343">
        <v>330.74</v>
      </c>
      <c r="H496" s="344"/>
      <c r="I496" s="354"/>
      <c r="J496" s="355">
        <v>3572</v>
      </c>
      <c r="K496" s="356"/>
    </row>
    <row r="497" s="327" customFormat="1" ht="25" customHeight="1" spans="1:11">
      <c r="A497" s="339">
        <v>487</v>
      </c>
      <c r="B497" s="340" t="s">
        <v>563</v>
      </c>
      <c r="C497" s="341" t="s">
        <v>1024</v>
      </c>
      <c r="D497" s="342" t="s">
        <v>1026</v>
      </c>
      <c r="E497" s="343">
        <v>20</v>
      </c>
      <c r="F497" s="343">
        <v>-20</v>
      </c>
      <c r="G497" s="343">
        <v>0</v>
      </c>
      <c r="H497" s="344"/>
      <c r="I497" s="354"/>
      <c r="J497" s="355">
        <v>2645</v>
      </c>
      <c r="K497" s="356"/>
    </row>
    <row r="498" s="327" customFormat="1" ht="25" customHeight="1" spans="1:11">
      <c r="A498" s="339">
        <v>488</v>
      </c>
      <c r="B498" s="340" t="s">
        <v>563</v>
      </c>
      <c r="C498" s="341" t="s">
        <v>1024</v>
      </c>
      <c r="D498" s="342" t="s">
        <v>1027</v>
      </c>
      <c r="E498" s="343">
        <v>27.39</v>
      </c>
      <c r="F498" s="343">
        <v>-6.8475</v>
      </c>
      <c r="G498" s="343">
        <v>20.5425</v>
      </c>
      <c r="H498" s="344"/>
      <c r="I498" s="354"/>
      <c r="J498" s="355">
        <v>2646</v>
      </c>
      <c r="K498" s="356"/>
    </row>
    <row r="499" s="327" customFormat="1" ht="25" customHeight="1" spans="1:11">
      <c r="A499" s="339">
        <v>489</v>
      </c>
      <c r="B499" s="340" t="s">
        <v>563</v>
      </c>
      <c r="C499" s="341" t="s">
        <v>1024</v>
      </c>
      <c r="D499" s="342" t="s">
        <v>1026</v>
      </c>
      <c r="E499" s="343">
        <v>6.82</v>
      </c>
      <c r="F499" s="343">
        <v>-6.82</v>
      </c>
      <c r="G499" s="343">
        <v>0</v>
      </c>
      <c r="H499" s="344"/>
      <c r="I499" s="354"/>
      <c r="J499" s="355">
        <v>2647</v>
      </c>
      <c r="K499" s="356"/>
    </row>
    <row r="500" s="327" customFormat="1" ht="25" customHeight="1" spans="1:11">
      <c r="A500" s="339">
        <v>490</v>
      </c>
      <c r="B500" s="340" t="s">
        <v>563</v>
      </c>
      <c r="C500" s="341" t="s">
        <v>1028</v>
      </c>
      <c r="D500" s="342" t="s">
        <v>1029</v>
      </c>
      <c r="E500" s="343">
        <v>41</v>
      </c>
      <c r="F500" s="343">
        <v>-41</v>
      </c>
      <c r="G500" s="343">
        <v>0</v>
      </c>
      <c r="H500" s="344"/>
      <c r="I500" s="354"/>
      <c r="J500" s="355">
        <v>734</v>
      </c>
      <c r="K500" s="356"/>
    </row>
    <row r="501" s="327" customFormat="1" ht="25" customHeight="1" spans="1:11">
      <c r="A501" s="339">
        <v>491</v>
      </c>
      <c r="B501" s="340" t="s">
        <v>563</v>
      </c>
      <c r="C501" s="341" t="s">
        <v>1030</v>
      </c>
      <c r="D501" s="342" t="s">
        <v>114</v>
      </c>
      <c r="E501" s="343">
        <v>27</v>
      </c>
      <c r="F501" s="343">
        <v>-8.8198</v>
      </c>
      <c r="G501" s="343">
        <v>18.1802</v>
      </c>
      <c r="H501" s="344"/>
      <c r="I501" s="354">
        <v>8</v>
      </c>
      <c r="J501" s="355">
        <v>303</v>
      </c>
      <c r="K501" s="356">
        <v>8</v>
      </c>
    </row>
    <row r="502" s="327" customFormat="1" ht="25" customHeight="1" spans="1:11">
      <c r="A502" s="339">
        <v>492</v>
      </c>
      <c r="B502" s="340" t="s">
        <v>563</v>
      </c>
      <c r="C502" s="341" t="s">
        <v>1030</v>
      </c>
      <c r="D502" s="342" t="s">
        <v>116</v>
      </c>
      <c r="E502" s="343">
        <v>34.2</v>
      </c>
      <c r="F502" s="343">
        <v>-10</v>
      </c>
      <c r="G502" s="343">
        <v>24.2</v>
      </c>
      <c r="H502" s="344"/>
      <c r="I502" s="354">
        <v>10</v>
      </c>
      <c r="J502" s="355">
        <v>305</v>
      </c>
      <c r="K502" s="356">
        <v>10</v>
      </c>
    </row>
    <row r="503" s="327" customFormat="1" ht="25" customHeight="1" spans="1:11">
      <c r="A503" s="339">
        <v>493</v>
      </c>
      <c r="B503" s="340" t="s">
        <v>563</v>
      </c>
      <c r="C503" s="341" t="s">
        <v>1030</v>
      </c>
      <c r="D503" s="342" t="s">
        <v>1031</v>
      </c>
      <c r="E503" s="343">
        <v>61.62</v>
      </c>
      <c r="F503" s="343">
        <v>-2.235</v>
      </c>
      <c r="G503" s="343">
        <v>59.385</v>
      </c>
      <c r="H503" s="344"/>
      <c r="I503" s="354"/>
      <c r="J503" s="355">
        <v>310</v>
      </c>
      <c r="K503" s="356"/>
    </row>
    <row r="504" s="327" customFormat="1" ht="25" customHeight="1" spans="1:11">
      <c r="A504" s="339">
        <v>494</v>
      </c>
      <c r="B504" s="340" t="s">
        <v>563</v>
      </c>
      <c r="C504" s="341" t="s">
        <v>1030</v>
      </c>
      <c r="D504" s="342" t="s">
        <v>1032</v>
      </c>
      <c r="E504" s="343">
        <v>2</v>
      </c>
      <c r="F504" s="343">
        <v>-1.698</v>
      </c>
      <c r="G504" s="343">
        <v>0.302</v>
      </c>
      <c r="H504" s="344"/>
      <c r="I504" s="354"/>
      <c r="J504" s="355">
        <v>312</v>
      </c>
      <c r="K504" s="356"/>
    </row>
    <row r="505" s="327" customFormat="1" ht="25" customHeight="1" spans="1:11">
      <c r="A505" s="339">
        <v>495</v>
      </c>
      <c r="B505" s="340" t="s">
        <v>572</v>
      </c>
      <c r="C505" s="341" t="s">
        <v>1033</v>
      </c>
      <c r="D505" s="342" t="s">
        <v>1034</v>
      </c>
      <c r="E505" s="343">
        <v>1900</v>
      </c>
      <c r="F505" s="343">
        <v>-790.22</v>
      </c>
      <c r="G505" s="343">
        <v>1109.78</v>
      </c>
      <c r="H505" s="344"/>
      <c r="I505" s="354"/>
      <c r="J505" s="355">
        <v>2290</v>
      </c>
      <c r="K505" s="356"/>
    </row>
    <row r="506" s="327" customFormat="1" ht="25" customHeight="1" spans="1:11">
      <c r="A506" s="339">
        <v>496</v>
      </c>
      <c r="B506" s="340" t="s">
        <v>521</v>
      </c>
      <c r="C506" s="341" t="s">
        <v>1033</v>
      </c>
      <c r="D506" s="342" t="s">
        <v>1035</v>
      </c>
      <c r="E506" s="343">
        <v>2</v>
      </c>
      <c r="F506" s="343">
        <v>-2</v>
      </c>
      <c r="G506" s="343">
        <v>0</v>
      </c>
      <c r="H506" s="344"/>
      <c r="I506" s="354"/>
      <c r="J506" s="355">
        <v>2320</v>
      </c>
      <c r="K506" s="356"/>
    </row>
    <row r="507" s="327" customFormat="1" ht="25" customHeight="1" spans="1:11">
      <c r="A507" s="339">
        <v>497</v>
      </c>
      <c r="B507" s="340" t="s">
        <v>521</v>
      </c>
      <c r="C507" s="341" t="s">
        <v>1033</v>
      </c>
      <c r="D507" s="342" t="s">
        <v>1036</v>
      </c>
      <c r="E507" s="343">
        <v>3</v>
      </c>
      <c r="F507" s="343">
        <v>-3</v>
      </c>
      <c r="G507" s="343">
        <v>0</v>
      </c>
      <c r="H507" s="344"/>
      <c r="I507" s="354"/>
      <c r="J507" s="355">
        <v>2323</v>
      </c>
      <c r="K507" s="356"/>
    </row>
    <row r="508" s="327" customFormat="1" ht="25" customHeight="1" spans="1:11">
      <c r="A508" s="339">
        <v>498</v>
      </c>
      <c r="B508" s="340" t="s">
        <v>521</v>
      </c>
      <c r="C508" s="341" t="s">
        <v>1033</v>
      </c>
      <c r="D508" s="342" t="s">
        <v>1037</v>
      </c>
      <c r="E508" s="343">
        <v>1</v>
      </c>
      <c r="F508" s="343">
        <v>-1</v>
      </c>
      <c r="G508" s="343">
        <v>0</v>
      </c>
      <c r="H508" s="344"/>
      <c r="I508" s="354"/>
      <c r="J508" s="355">
        <v>2325</v>
      </c>
      <c r="K508" s="356"/>
    </row>
    <row r="509" s="327" customFormat="1" ht="25" customHeight="1" spans="1:11">
      <c r="A509" s="339">
        <v>499</v>
      </c>
      <c r="B509" s="340" t="s">
        <v>521</v>
      </c>
      <c r="C509" s="341" t="s">
        <v>1033</v>
      </c>
      <c r="D509" s="342" t="s">
        <v>1036</v>
      </c>
      <c r="E509" s="343">
        <v>3</v>
      </c>
      <c r="F509" s="343">
        <v>-3</v>
      </c>
      <c r="G509" s="343">
        <v>0</v>
      </c>
      <c r="H509" s="344"/>
      <c r="I509" s="354"/>
      <c r="J509" s="355">
        <v>2326</v>
      </c>
      <c r="K509" s="356"/>
    </row>
    <row r="510" s="327" customFormat="1" ht="25" customHeight="1" spans="1:11">
      <c r="A510" s="339">
        <v>500</v>
      </c>
      <c r="B510" s="340" t="s">
        <v>521</v>
      </c>
      <c r="C510" s="341" t="s">
        <v>1033</v>
      </c>
      <c r="D510" s="342" t="s">
        <v>1038</v>
      </c>
      <c r="E510" s="343">
        <v>12.4</v>
      </c>
      <c r="F510" s="343">
        <v>-12</v>
      </c>
      <c r="G510" s="343">
        <v>0.4</v>
      </c>
      <c r="H510" s="344"/>
      <c r="I510" s="354"/>
      <c r="J510" s="355">
        <v>2349</v>
      </c>
      <c r="K510" s="356"/>
    </row>
    <row r="511" s="327" customFormat="1" ht="25" customHeight="1" spans="1:11">
      <c r="A511" s="339">
        <v>501</v>
      </c>
      <c r="B511" s="340" t="s">
        <v>521</v>
      </c>
      <c r="C511" s="341" t="s">
        <v>1033</v>
      </c>
      <c r="D511" s="342" t="s">
        <v>1039</v>
      </c>
      <c r="E511" s="343">
        <v>8</v>
      </c>
      <c r="F511" s="343">
        <v>-8</v>
      </c>
      <c r="G511" s="343">
        <v>0</v>
      </c>
      <c r="H511" s="344"/>
      <c r="I511" s="354"/>
      <c r="J511" s="355">
        <v>2350</v>
      </c>
      <c r="K511" s="356"/>
    </row>
    <row r="512" s="327" customFormat="1" ht="25" customHeight="1" spans="1:11">
      <c r="A512" s="339">
        <v>502</v>
      </c>
      <c r="B512" s="340" t="s">
        <v>521</v>
      </c>
      <c r="C512" s="341" t="s">
        <v>1033</v>
      </c>
      <c r="D512" s="342" t="s">
        <v>1040</v>
      </c>
      <c r="E512" s="343">
        <v>1</v>
      </c>
      <c r="F512" s="343">
        <v>-1</v>
      </c>
      <c r="G512" s="343">
        <v>0</v>
      </c>
      <c r="H512" s="344"/>
      <c r="I512" s="354"/>
      <c r="J512" s="355">
        <v>2351</v>
      </c>
      <c r="K512" s="356"/>
    </row>
    <row r="513" s="327" customFormat="1" ht="25" customHeight="1" spans="1:11">
      <c r="A513" s="339">
        <v>503</v>
      </c>
      <c r="B513" s="340" t="s">
        <v>521</v>
      </c>
      <c r="C513" s="341" t="s">
        <v>1033</v>
      </c>
      <c r="D513" s="342" t="s">
        <v>1041</v>
      </c>
      <c r="E513" s="343">
        <v>5.38</v>
      </c>
      <c r="F513" s="343">
        <v>-0.00399999999999956</v>
      </c>
      <c r="G513" s="343">
        <v>5.376</v>
      </c>
      <c r="H513" s="344"/>
      <c r="I513" s="354"/>
      <c r="J513" s="355">
        <v>2356</v>
      </c>
      <c r="K513" s="356"/>
    </row>
    <row r="514" s="327" customFormat="1" ht="25" customHeight="1" spans="1:11">
      <c r="A514" s="339">
        <v>504</v>
      </c>
      <c r="B514" s="340" t="s">
        <v>653</v>
      </c>
      <c r="C514" s="341" t="s">
        <v>1042</v>
      </c>
      <c r="D514" s="342" t="s">
        <v>1043</v>
      </c>
      <c r="E514" s="343">
        <v>8</v>
      </c>
      <c r="F514" s="343">
        <v>-8</v>
      </c>
      <c r="G514" s="343">
        <v>0</v>
      </c>
      <c r="H514" s="344"/>
      <c r="I514" s="354">
        <v>8</v>
      </c>
      <c r="J514" s="355">
        <v>2973</v>
      </c>
      <c r="K514" s="356"/>
    </row>
    <row r="515" s="327" customFormat="1" ht="25" customHeight="1" spans="1:11">
      <c r="A515" s="339">
        <v>505</v>
      </c>
      <c r="B515" s="340" t="s">
        <v>653</v>
      </c>
      <c r="C515" s="341" t="s">
        <v>1042</v>
      </c>
      <c r="D515" s="342" t="s">
        <v>1044</v>
      </c>
      <c r="E515" s="343">
        <v>4.85</v>
      </c>
      <c r="F515" s="343">
        <v>-4.85</v>
      </c>
      <c r="G515" s="343">
        <v>0</v>
      </c>
      <c r="H515" s="344"/>
      <c r="I515" s="354">
        <v>4.85</v>
      </c>
      <c r="J515" s="355">
        <v>2976</v>
      </c>
      <c r="K515" s="356">
        <v>4.85</v>
      </c>
    </row>
    <row r="516" s="327" customFormat="1" ht="25" customHeight="1" spans="1:11">
      <c r="A516" s="339">
        <v>506</v>
      </c>
      <c r="B516" s="340" t="s">
        <v>521</v>
      </c>
      <c r="C516" s="341" t="s">
        <v>1045</v>
      </c>
      <c r="D516" s="342" t="s">
        <v>1046</v>
      </c>
      <c r="E516" s="343">
        <v>18</v>
      </c>
      <c r="F516" s="343">
        <v>-7</v>
      </c>
      <c r="G516" s="343">
        <v>11</v>
      </c>
      <c r="H516" s="344"/>
      <c r="I516" s="354"/>
      <c r="J516" s="355">
        <v>2058</v>
      </c>
      <c r="K516" s="356"/>
    </row>
    <row r="517" s="327" customFormat="1" ht="25" customHeight="1" spans="1:11">
      <c r="A517" s="339">
        <v>507</v>
      </c>
      <c r="B517" s="340" t="s">
        <v>521</v>
      </c>
      <c r="C517" s="341" t="s">
        <v>1045</v>
      </c>
      <c r="D517" s="342" t="s">
        <v>1047</v>
      </c>
      <c r="E517" s="343">
        <v>2</v>
      </c>
      <c r="F517" s="343">
        <v>-2</v>
      </c>
      <c r="G517" s="343">
        <v>0</v>
      </c>
      <c r="H517" s="344"/>
      <c r="I517" s="354"/>
      <c r="J517" s="355">
        <v>2059</v>
      </c>
      <c r="K517" s="356"/>
    </row>
    <row r="518" s="327" customFormat="1" ht="25" customHeight="1" spans="1:11">
      <c r="A518" s="339">
        <v>508</v>
      </c>
      <c r="B518" s="340" t="s">
        <v>572</v>
      </c>
      <c r="C518" s="341" t="s">
        <v>1048</v>
      </c>
      <c r="D518" s="342" t="s">
        <v>1049</v>
      </c>
      <c r="E518" s="343">
        <v>9.57</v>
      </c>
      <c r="F518" s="343">
        <v>-5.57</v>
      </c>
      <c r="G518" s="343">
        <v>4</v>
      </c>
      <c r="H518" s="344"/>
      <c r="I518" s="354"/>
      <c r="J518" s="355">
        <v>3349</v>
      </c>
      <c r="K518" s="356"/>
    </row>
    <row r="519" s="327" customFormat="1" ht="25" customHeight="1" spans="1:11">
      <c r="A519" s="339">
        <v>509</v>
      </c>
      <c r="B519" s="340" t="s">
        <v>653</v>
      </c>
      <c r="C519" s="341" t="s">
        <v>1050</v>
      </c>
      <c r="D519" s="342" t="s">
        <v>1051</v>
      </c>
      <c r="E519" s="343">
        <v>10</v>
      </c>
      <c r="F519" s="343">
        <v>-5</v>
      </c>
      <c r="G519" s="343">
        <v>5</v>
      </c>
      <c r="H519" s="344"/>
      <c r="I519" s="354"/>
      <c r="J519" s="355">
        <v>3279</v>
      </c>
      <c r="K519" s="356"/>
    </row>
    <row r="520" s="327" customFormat="1" ht="25" customHeight="1" spans="1:11">
      <c r="A520" s="339">
        <v>510</v>
      </c>
      <c r="B520" s="340" t="s">
        <v>653</v>
      </c>
      <c r="C520" s="341" t="s">
        <v>1052</v>
      </c>
      <c r="D520" s="342" t="s">
        <v>1053</v>
      </c>
      <c r="E520" s="343">
        <v>13.29</v>
      </c>
      <c r="F520" s="343">
        <v>-13.29</v>
      </c>
      <c r="G520" s="343">
        <v>0</v>
      </c>
      <c r="H520" s="344"/>
      <c r="I520" s="354"/>
      <c r="J520" s="355">
        <v>333</v>
      </c>
      <c r="K520" s="356"/>
    </row>
    <row r="521" s="327" customFormat="1" ht="25" customHeight="1" spans="1:11">
      <c r="A521" s="339">
        <v>511</v>
      </c>
      <c r="B521" s="340" t="s">
        <v>653</v>
      </c>
      <c r="C521" s="341" t="s">
        <v>1052</v>
      </c>
      <c r="D521" s="342" t="s">
        <v>1054</v>
      </c>
      <c r="E521" s="343">
        <v>300</v>
      </c>
      <c r="F521" s="343">
        <v>-300</v>
      </c>
      <c r="G521" s="343">
        <v>0</v>
      </c>
      <c r="H521" s="344"/>
      <c r="I521" s="354">
        <v>300</v>
      </c>
      <c r="J521" s="355">
        <v>765</v>
      </c>
      <c r="K521" s="356"/>
    </row>
    <row r="522" s="327" customFormat="1" ht="25" customHeight="1" spans="1:11">
      <c r="A522" s="339">
        <v>512</v>
      </c>
      <c r="B522" s="340" t="s">
        <v>653</v>
      </c>
      <c r="C522" s="341" t="s">
        <v>1052</v>
      </c>
      <c r="D522" s="342" t="s">
        <v>1055</v>
      </c>
      <c r="E522" s="343">
        <v>2.25</v>
      </c>
      <c r="F522" s="343">
        <v>-2.25</v>
      </c>
      <c r="G522" s="343">
        <v>0</v>
      </c>
      <c r="H522" s="344"/>
      <c r="I522" s="354"/>
      <c r="J522" s="355">
        <v>784</v>
      </c>
      <c r="K522" s="356"/>
    </row>
    <row r="523" s="327" customFormat="1" ht="25" customHeight="1" spans="1:11">
      <c r="A523" s="339">
        <v>513</v>
      </c>
      <c r="B523" s="340" t="s">
        <v>653</v>
      </c>
      <c r="C523" s="341" t="s">
        <v>1052</v>
      </c>
      <c r="D523" s="342" t="s">
        <v>1056</v>
      </c>
      <c r="E523" s="343">
        <v>121</v>
      </c>
      <c r="F523" s="343">
        <v>-121</v>
      </c>
      <c r="G523" s="343">
        <v>0</v>
      </c>
      <c r="H523" s="344"/>
      <c r="I523" s="354">
        <v>121.2</v>
      </c>
      <c r="J523" s="355">
        <v>1216</v>
      </c>
      <c r="K523" s="356"/>
    </row>
    <row r="524" s="327" customFormat="1" ht="25" customHeight="1" spans="1:11">
      <c r="A524" s="339">
        <v>514</v>
      </c>
      <c r="B524" s="340" t="s">
        <v>653</v>
      </c>
      <c r="C524" s="341" t="s">
        <v>1052</v>
      </c>
      <c r="D524" s="342" t="s">
        <v>1057</v>
      </c>
      <c r="E524" s="343">
        <v>77.8</v>
      </c>
      <c r="F524" s="343">
        <v>-47.8</v>
      </c>
      <c r="G524" s="343">
        <v>30</v>
      </c>
      <c r="H524" s="344"/>
      <c r="I524" s="354">
        <v>43.8</v>
      </c>
      <c r="J524" s="355">
        <v>1217</v>
      </c>
      <c r="K524" s="356"/>
    </row>
    <row r="525" s="327" customFormat="1" ht="25" customHeight="1" spans="1:11">
      <c r="A525" s="339">
        <v>515</v>
      </c>
      <c r="B525" s="340" t="s">
        <v>653</v>
      </c>
      <c r="C525" s="341" t="s">
        <v>1052</v>
      </c>
      <c r="D525" s="342" t="s">
        <v>1058</v>
      </c>
      <c r="E525" s="343">
        <v>65</v>
      </c>
      <c r="F525" s="343">
        <v>-65</v>
      </c>
      <c r="G525" s="343">
        <v>0</v>
      </c>
      <c r="H525" s="344"/>
      <c r="I525" s="354">
        <v>65</v>
      </c>
      <c r="J525" s="355">
        <v>3274</v>
      </c>
      <c r="K525" s="356"/>
    </row>
    <row r="526" s="327" customFormat="1" ht="25" customHeight="1" spans="1:11">
      <c r="A526" s="339">
        <v>516</v>
      </c>
      <c r="B526" s="340" t="s">
        <v>653</v>
      </c>
      <c r="C526" s="341" t="s">
        <v>1052</v>
      </c>
      <c r="D526" s="342" t="s">
        <v>1058</v>
      </c>
      <c r="E526" s="343">
        <v>89</v>
      </c>
      <c r="F526" s="343">
        <v>-89</v>
      </c>
      <c r="G526" s="343">
        <v>0</v>
      </c>
      <c r="H526" s="344"/>
      <c r="I526" s="354">
        <v>89</v>
      </c>
      <c r="J526" s="355">
        <v>3275</v>
      </c>
      <c r="K526" s="356"/>
    </row>
    <row r="527" s="327" customFormat="1" ht="25" customHeight="1" spans="1:11">
      <c r="A527" s="339">
        <v>517</v>
      </c>
      <c r="B527" s="340" t="s">
        <v>653</v>
      </c>
      <c r="C527" s="341" t="s">
        <v>1052</v>
      </c>
      <c r="D527" s="342" t="s">
        <v>1059</v>
      </c>
      <c r="E527" s="343">
        <v>40</v>
      </c>
      <c r="F527" s="343">
        <v>-40</v>
      </c>
      <c r="G527" s="343">
        <v>0</v>
      </c>
      <c r="H527" s="344"/>
      <c r="I527" s="354">
        <v>40</v>
      </c>
      <c r="J527" s="355">
        <v>3276</v>
      </c>
      <c r="K527" s="356"/>
    </row>
    <row r="528" s="327" customFormat="1" ht="25" customHeight="1" spans="1:11">
      <c r="A528" s="339">
        <v>518</v>
      </c>
      <c r="B528" s="340" t="s">
        <v>653</v>
      </c>
      <c r="C528" s="341" t="s">
        <v>1052</v>
      </c>
      <c r="D528" s="342" t="s">
        <v>1060</v>
      </c>
      <c r="E528" s="343">
        <v>207</v>
      </c>
      <c r="F528" s="343">
        <v>-207</v>
      </c>
      <c r="G528" s="343">
        <v>0</v>
      </c>
      <c r="H528" s="344"/>
      <c r="I528" s="354">
        <v>207</v>
      </c>
      <c r="J528" s="355">
        <v>3278</v>
      </c>
      <c r="K528" s="356"/>
    </row>
    <row r="529" s="327" customFormat="1" ht="25" customHeight="1" spans="1:11">
      <c r="A529" s="339">
        <v>519</v>
      </c>
      <c r="B529" s="340" t="s">
        <v>653</v>
      </c>
      <c r="C529" s="341" t="s">
        <v>1052</v>
      </c>
      <c r="D529" s="342" t="s">
        <v>1061</v>
      </c>
      <c r="E529" s="343">
        <v>300</v>
      </c>
      <c r="F529" s="343">
        <v>-300</v>
      </c>
      <c r="G529" s="343">
        <v>0</v>
      </c>
      <c r="H529" s="344"/>
      <c r="I529" s="354"/>
      <c r="J529" s="355">
        <v>3588</v>
      </c>
      <c r="K529" s="356"/>
    </row>
    <row r="530" s="327" customFormat="1" ht="25" customHeight="1" spans="1:11">
      <c r="A530" s="339">
        <v>520</v>
      </c>
      <c r="B530" s="340" t="s">
        <v>653</v>
      </c>
      <c r="C530" s="341" t="s">
        <v>1062</v>
      </c>
      <c r="D530" s="342" t="s">
        <v>1063</v>
      </c>
      <c r="E530" s="343">
        <v>100</v>
      </c>
      <c r="F530" s="343">
        <v>-100</v>
      </c>
      <c r="G530" s="343">
        <v>0</v>
      </c>
      <c r="H530" s="344"/>
      <c r="I530" s="354">
        <v>100</v>
      </c>
      <c r="J530" s="355">
        <v>1218</v>
      </c>
      <c r="K530" s="356"/>
    </row>
    <row r="531" s="327" customFormat="1" ht="25" customHeight="1" spans="1:11">
      <c r="A531" s="339">
        <v>521</v>
      </c>
      <c r="B531" s="340" t="s">
        <v>563</v>
      </c>
      <c r="C531" s="341" t="s">
        <v>1064</v>
      </c>
      <c r="D531" s="342" t="s">
        <v>1065</v>
      </c>
      <c r="E531" s="343">
        <v>35</v>
      </c>
      <c r="F531" s="343">
        <v>-35</v>
      </c>
      <c r="G531" s="343">
        <v>0</v>
      </c>
      <c r="H531" s="344"/>
      <c r="I531" s="354">
        <v>35</v>
      </c>
      <c r="J531" s="355">
        <v>433</v>
      </c>
      <c r="K531" s="356"/>
    </row>
    <row r="532" s="327" customFormat="1" ht="25" customHeight="1" spans="1:11">
      <c r="A532" s="339">
        <v>522</v>
      </c>
      <c r="B532" s="340" t="s">
        <v>563</v>
      </c>
      <c r="C532" s="341" t="s">
        <v>1064</v>
      </c>
      <c r="D532" s="342" t="s">
        <v>1066</v>
      </c>
      <c r="E532" s="343">
        <v>2</v>
      </c>
      <c r="F532" s="343">
        <v>-0.0652</v>
      </c>
      <c r="G532" s="343">
        <v>1.9348</v>
      </c>
      <c r="H532" s="344"/>
      <c r="I532" s="354"/>
      <c r="J532" s="355">
        <v>434</v>
      </c>
      <c r="K532" s="356"/>
    </row>
    <row r="533" s="327" customFormat="1" ht="25" customHeight="1" spans="1:11">
      <c r="A533" s="339">
        <v>523</v>
      </c>
      <c r="B533" s="340" t="s">
        <v>563</v>
      </c>
      <c r="C533" s="341" t="s">
        <v>1064</v>
      </c>
      <c r="D533" s="342" t="s">
        <v>1067</v>
      </c>
      <c r="E533" s="343">
        <v>2</v>
      </c>
      <c r="F533" s="343">
        <v>-1.51</v>
      </c>
      <c r="G533" s="343">
        <v>0.49</v>
      </c>
      <c r="H533" s="344"/>
      <c r="I533" s="354"/>
      <c r="J533" s="355">
        <v>435</v>
      </c>
      <c r="K533" s="356"/>
    </row>
    <row r="534" s="327" customFormat="1" ht="25" customHeight="1" spans="1:11">
      <c r="A534" s="339">
        <v>524</v>
      </c>
      <c r="B534" s="340" t="s">
        <v>563</v>
      </c>
      <c r="C534" s="341" t="s">
        <v>1064</v>
      </c>
      <c r="D534" s="342" t="s">
        <v>1068</v>
      </c>
      <c r="E534" s="343">
        <v>2</v>
      </c>
      <c r="F534" s="343">
        <v>-1.25</v>
      </c>
      <c r="G534" s="343">
        <v>0.75</v>
      </c>
      <c r="H534" s="344"/>
      <c r="I534" s="354"/>
      <c r="J534" s="355">
        <v>436</v>
      </c>
      <c r="K534" s="356"/>
    </row>
    <row r="535" s="327" customFormat="1" ht="25" customHeight="1" spans="1:11">
      <c r="A535" s="339">
        <v>525</v>
      </c>
      <c r="B535" s="340" t="s">
        <v>563</v>
      </c>
      <c r="C535" s="341" t="s">
        <v>1064</v>
      </c>
      <c r="D535" s="342" t="s">
        <v>1069</v>
      </c>
      <c r="E535" s="343">
        <v>1</v>
      </c>
      <c r="F535" s="343">
        <v>-0.9</v>
      </c>
      <c r="G535" s="343">
        <v>0.1</v>
      </c>
      <c r="H535" s="344"/>
      <c r="I535" s="354"/>
      <c r="J535" s="355">
        <v>437</v>
      </c>
      <c r="K535" s="356"/>
    </row>
    <row r="536" s="327" customFormat="1" ht="25" customHeight="1" spans="1:11">
      <c r="A536" s="339">
        <v>526</v>
      </c>
      <c r="B536" s="340" t="s">
        <v>563</v>
      </c>
      <c r="C536" s="341" t="s">
        <v>1064</v>
      </c>
      <c r="D536" s="342" t="s">
        <v>1070</v>
      </c>
      <c r="E536" s="343">
        <v>3</v>
      </c>
      <c r="F536" s="343">
        <v>-0.6</v>
      </c>
      <c r="G536" s="343">
        <v>2.4</v>
      </c>
      <c r="H536" s="344"/>
      <c r="I536" s="354"/>
      <c r="J536" s="355">
        <v>438</v>
      </c>
      <c r="K536" s="356"/>
    </row>
    <row r="537" s="327" customFormat="1" ht="25" customHeight="1" spans="1:11">
      <c r="A537" s="339">
        <v>527</v>
      </c>
      <c r="B537" s="340" t="s">
        <v>563</v>
      </c>
      <c r="C537" s="341" t="s">
        <v>1064</v>
      </c>
      <c r="D537" s="342" t="s">
        <v>1065</v>
      </c>
      <c r="E537" s="343">
        <v>35</v>
      </c>
      <c r="F537" s="343">
        <v>-35</v>
      </c>
      <c r="G537" s="343">
        <v>0</v>
      </c>
      <c r="H537" s="344"/>
      <c r="I537" s="354">
        <v>35</v>
      </c>
      <c r="J537" s="355">
        <v>439</v>
      </c>
      <c r="K537" s="356"/>
    </row>
    <row r="538" s="327" customFormat="1" ht="25" customHeight="1" spans="1:11">
      <c r="A538" s="339">
        <v>528</v>
      </c>
      <c r="B538" s="340" t="s">
        <v>563</v>
      </c>
      <c r="C538" s="341" t="s">
        <v>1064</v>
      </c>
      <c r="D538" s="342" t="s">
        <v>1071</v>
      </c>
      <c r="E538" s="343">
        <v>2</v>
      </c>
      <c r="F538" s="343">
        <v>-0.0093</v>
      </c>
      <c r="G538" s="343">
        <v>1.9907</v>
      </c>
      <c r="H538" s="344"/>
      <c r="I538" s="354"/>
      <c r="J538" s="355">
        <v>751</v>
      </c>
      <c r="K538" s="356"/>
    </row>
    <row r="539" s="327" customFormat="1" ht="25" customHeight="1" spans="1:11">
      <c r="A539" s="339">
        <v>529</v>
      </c>
      <c r="B539" s="340" t="s">
        <v>611</v>
      </c>
      <c r="C539" s="341" t="s">
        <v>1072</v>
      </c>
      <c r="D539" s="342" t="s">
        <v>1073</v>
      </c>
      <c r="E539" s="343">
        <v>48.35</v>
      </c>
      <c r="F539" s="343">
        <v>-28.35</v>
      </c>
      <c r="G539" s="343">
        <v>20</v>
      </c>
      <c r="H539" s="344"/>
      <c r="I539" s="354"/>
      <c r="J539" s="355">
        <v>3366</v>
      </c>
      <c r="K539" s="356"/>
    </row>
    <row r="540" s="327" customFormat="1" ht="25" customHeight="1" spans="1:11">
      <c r="A540" s="339">
        <v>530</v>
      </c>
      <c r="B540" s="340" t="s">
        <v>563</v>
      </c>
      <c r="C540" s="341" t="s">
        <v>1072</v>
      </c>
      <c r="D540" s="342" t="s">
        <v>1074</v>
      </c>
      <c r="E540" s="343">
        <v>2</v>
      </c>
      <c r="F540" s="343">
        <v>-2</v>
      </c>
      <c r="G540" s="343">
        <v>0</v>
      </c>
      <c r="H540" s="344"/>
      <c r="I540" s="354"/>
      <c r="J540" s="355">
        <v>2649</v>
      </c>
      <c r="K540" s="356"/>
    </row>
    <row r="541" s="327" customFormat="1" ht="25" customHeight="1" spans="1:11">
      <c r="A541" s="339">
        <v>531</v>
      </c>
      <c r="B541" s="340" t="s">
        <v>563</v>
      </c>
      <c r="C541" s="341" t="s">
        <v>1075</v>
      </c>
      <c r="D541" s="342" t="s">
        <v>1076</v>
      </c>
      <c r="E541" s="343">
        <v>71.1</v>
      </c>
      <c r="F541" s="343">
        <v>-67.581344</v>
      </c>
      <c r="G541" s="343">
        <v>3.518656</v>
      </c>
      <c r="H541" s="344"/>
      <c r="I541" s="354"/>
      <c r="J541" s="355">
        <v>842</v>
      </c>
      <c r="K541" s="356"/>
    </row>
    <row r="542" s="327" customFormat="1" ht="25" customHeight="1" spans="1:11">
      <c r="A542" s="339">
        <v>532</v>
      </c>
      <c r="B542" s="340" t="s">
        <v>563</v>
      </c>
      <c r="C542" s="341" t="s">
        <v>1075</v>
      </c>
      <c r="D542" s="342" t="s">
        <v>1077</v>
      </c>
      <c r="E542" s="343">
        <v>30</v>
      </c>
      <c r="F542" s="343">
        <v>-21.29904</v>
      </c>
      <c r="G542" s="343">
        <v>8.70096</v>
      </c>
      <c r="H542" s="344"/>
      <c r="I542" s="354">
        <v>21.3</v>
      </c>
      <c r="J542" s="355">
        <v>844</v>
      </c>
      <c r="K542" s="356"/>
    </row>
    <row r="543" s="327" customFormat="1" ht="25" customHeight="1" spans="1:11">
      <c r="A543" s="339">
        <v>533</v>
      </c>
      <c r="B543" s="340" t="s">
        <v>563</v>
      </c>
      <c r="C543" s="341" t="s">
        <v>1075</v>
      </c>
      <c r="D543" s="342" t="s">
        <v>1078</v>
      </c>
      <c r="E543" s="343">
        <v>40</v>
      </c>
      <c r="F543" s="343">
        <v>-20.002</v>
      </c>
      <c r="G543" s="343">
        <v>19.998</v>
      </c>
      <c r="H543" s="344"/>
      <c r="I543" s="354">
        <v>20</v>
      </c>
      <c r="J543" s="355">
        <v>845</v>
      </c>
      <c r="K543" s="356"/>
    </row>
    <row r="544" s="327" customFormat="1" ht="25" customHeight="1" spans="1:11">
      <c r="A544" s="339">
        <v>534</v>
      </c>
      <c r="B544" s="340" t="s">
        <v>563</v>
      </c>
      <c r="C544" s="341" t="s">
        <v>1075</v>
      </c>
      <c r="D544" s="342" t="s">
        <v>1079</v>
      </c>
      <c r="E544" s="343">
        <v>28.44</v>
      </c>
      <c r="F544" s="343">
        <v>-3.627551</v>
      </c>
      <c r="G544" s="343">
        <v>24.812449</v>
      </c>
      <c r="H544" s="344"/>
      <c r="I544" s="354"/>
      <c r="J544" s="355">
        <v>846</v>
      </c>
      <c r="K544" s="356"/>
    </row>
    <row r="545" s="327" customFormat="1" ht="25" customHeight="1" spans="1:11">
      <c r="A545" s="339">
        <v>535</v>
      </c>
      <c r="B545" s="340" t="s">
        <v>611</v>
      </c>
      <c r="C545" s="341" t="s">
        <v>1080</v>
      </c>
      <c r="D545" s="342" t="s">
        <v>1081</v>
      </c>
      <c r="E545" s="343">
        <v>230</v>
      </c>
      <c r="F545" s="343">
        <v>-230</v>
      </c>
      <c r="G545" s="343">
        <v>0</v>
      </c>
      <c r="H545" s="344"/>
      <c r="I545" s="354"/>
      <c r="J545" s="355">
        <v>148</v>
      </c>
      <c r="K545" s="356"/>
    </row>
    <row r="546" s="327" customFormat="1" ht="25" customHeight="1" spans="1:11">
      <c r="A546" s="339">
        <v>536</v>
      </c>
      <c r="B546" s="340" t="s">
        <v>653</v>
      </c>
      <c r="C546" s="341" t="s">
        <v>1080</v>
      </c>
      <c r="D546" s="342" t="s">
        <v>1082</v>
      </c>
      <c r="E546" s="343">
        <v>368</v>
      </c>
      <c r="F546" s="343">
        <v>-368</v>
      </c>
      <c r="G546" s="343">
        <v>0</v>
      </c>
      <c r="H546" s="344"/>
      <c r="I546" s="354"/>
      <c r="J546" s="355">
        <v>149</v>
      </c>
      <c r="K546" s="356"/>
    </row>
    <row r="547" s="327" customFormat="1" ht="25" customHeight="1" spans="1:11">
      <c r="A547" s="339">
        <v>537</v>
      </c>
      <c r="B547" s="340" t="s">
        <v>653</v>
      </c>
      <c r="C547" s="341" t="s">
        <v>1080</v>
      </c>
      <c r="D547" s="342" t="s">
        <v>1083</v>
      </c>
      <c r="E547" s="343">
        <v>5</v>
      </c>
      <c r="F547" s="343">
        <v>-5</v>
      </c>
      <c r="G547" s="343">
        <v>0</v>
      </c>
      <c r="H547" s="344"/>
      <c r="I547" s="354"/>
      <c r="J547" s="355">
        <v>151</v>
      </c>
      <c r="K547" s="356"/>
    </row>
    <row r="548" s="327" customFormat="1" ht="25" customHeight="1" spans="1:11">
      <c r="A548" s="339">
        <v>538</v>
      </c>
      <c r="B548" s="340" t="s">
        <v>653</v>
      </c>
      <c r="C548" s="341" t="s">
        <v>1080</v>
      </c>
      <c r="D548" s="342" t="s">
        <v>1084</v>
      </c>
      <c r="E548" s="343">
        <v>21.6</v>
      </c>
      <c r="F548" s="343">
        <v>-9</v>
      </c>
      <c r="G548" s="343">
        <v>12.6</v>
      </c>
      <c r="H548" s="344"/>
      <c r="I548" s="354"/>
      <c r="J548" s="355">
        <v>155</v>
      </c>
      <c r="K548" s="356"/>
    </row>
    <row r="549" s="327" customFormat="1" ht="25" customHeight="1" spans="1:11">
      <c r="A549" s="339">
        <v>539</v>
      </c>
      <c r="B549" s="340" t="s">
        <v>653</v>
      </c>
      <c r="C549" s="341" t="s">
        <v>1080</v>
      </c>
      <c r="D549" s="342" t="s">
        <v>1085</v>
      </c>
      <c r="E549" s="343">
        <v>21.6</v>
      </c>
      <c r="F549" s="343">
        <v>-1.8</v>
      </c>
      <c r="G549" s="343">
        <v>19.8</v>
      </c>
      <c r="H549" s="344"/>
      <c r="I549" s="354"/>
      <c r="J549" s="355">
        <v>156</v>
      </c>
      <c r="K549" s="356"/>
    </row>
    <row r="550" s="327" customFormat="1" ht="25" customHeight="1" spans="1:11">
      <c r="A550" s="339">
        <v>540</v>
      </c>
      <c r="B550" s="340" t="s">
        <v>653</v>
      </c>
      <c r="C550" s="341" t="s">
        <v>1080</v>
      </c>
      <c r="D550" s="342" t="s">
        <v>1086</v>
      </c>
      <c r="E550" s="343">
        <v>30</v>
      </c>
      <c r="F550" s="343">
        <v>-22.24</v>
      </c>
      <c r="G550" s="343">
        <v>7.76</v>
      </c>
      <c r="H550" s="344"/>
      <c r="I550" s="354"/>
      <c r="J550" s="355">
        <v>160</v>
      </c>
      <c r="K550" s="356"/>
    </row>
    <row r="551" s="327" customFormat="1" ht="25" customHeight="1" spans="1:11">
      <c r="A551" s="339">
        <v>541</v>
      </c>
      <c r="B551" s="340" t="s">
        <v>653</v>
      </c>
      <c r="C551" s="341" t="s">
        <v>1080</v>
      </c>
      <c r="D551" s="342" t="s">
        <v>1087</v>
      </c>
      <c r="E551" s="343">
        <v>13.18</v>
      </c>
      <c r="F551" s="343">
        <v>-13.18</v>
      </c>
      <c r="G551" s="343">
        <v>0</v>
      </c>
      <c r="H551" s="344"/>
      <c r="I551" s="354">
        <v>13.18</v>
      </c>
      <c r="J551" s="355">
        <v>171</v>
      </c>
      <c r="K551" s="356"/>
    </row>
    <row r="552" s="327" customFormat="1" ht="25" customHeight="1" spans="1:11">
      <c r="A552" s="339">
        <v>542</v>
      </c>
      <c r="B552" s="340" t="s">
        <v>653</v>
      </c>
      <c r="C552" s="341" t="s">
        <v>1080</v>
      </c>
      <c r="D552" s="342" t="s">
        <v>1088</v>
      </c>
      <c r="E552" s="343">
        <v>38</v>
      </c>
      <c r="F552" s="343">
        <v>-28</v>
      </c>
      <c r="G552" s="343">
        <v>10</v>
      </c>
      <c r="H552" s="344"/>
      <c r="I552" s="354">
        <v>28</v>
      </c>
      <c r="J552" s="355">
        <v>2572</v>
      </c>
      <c r="K552" s="356">
        <v>28</v>
      </c>
    </row>
    <row r="553" s="327" customFormat="1" ht="25" customHeight="1" spans="1:11">
      <c r="A553" s="339">
        <v>543</v>
      </c>
      <c r="B553" s="340" t="s">
        <v>540</v>
      </c>
      <c r="C553" s="341" t="s">
        <v>1089</v>
      </c>
      <c r="D553" s="342" t="s">
        <v>1090</v>
      </c>
      <c r="E553" s="343">
        <v>2</v>
      </c>
      <c r="F553" s="343">
        <v>-1</v>
      </c>
      <c r="G553" s="343">
        <v>1</v>
      </c>
      <c r="H553" s="344"/>
      <c r="I553" s="354"/>
      <c r="J553" s="355">
        <v>3028</v>
      </c>
      <c r="K553" s="356"/>
    </row>
    <row r="554" s="327" customFormat="1" ht="25" customHeight="1" spans="1:11">
      <c r="A554" s="339">
        <v>544</v>
      </c>
      <c r="B554" s="340" t="s">
        <v>540</v>
      </c>
      <c r="C554" s="341" t="s">
        <v>1089</v>
      </c>
      <c r="D554" s="342" t="s">
        <v>1091</v>
      </c>
      <c r="E554" s="343">
        <v>10</v>
      </c>
      <c r="F554" s="343">
        <v>-4</v>
      </c>
      <c r="G554" s="343">
        <v>6</v>
      </c>
      <c r="H554" s="344"/>
      <c r="I554" s="354"/>
      <c r="J554" s="355">
        <v>3030</v>
      </c>
      <c r="K554" s="356"/>
    </row>
    <row r="555" s="327" customFormat="1" ht="25" customHeight="1" spans="1:11">
      <c r="A555" s="339">
        <v>545</v>
      </c>
      <c r="B555" s="340" t="s">
        <v>653</v>
      </c>
      <c r="C555" s="341" t="s">
        <v>1092</v>
      </c>
      <c r="D555" s="342" t="s">
        <v>1093</v>
      </c>
      <c r="E555" s="343">
        <v>10</v>
      </c>
      <c r="F555" s="343">
        <v>-10</v>
      </c>
      <c r="G555" s="343">
        <v>0</v>
      </c>
      <c r="H555" s="344"/>
      <c r="I555" s="354">
        <v>10</v>
      </c>
      <c r="J555" s="355">
        <v>2569</v>
      </c>
      <c r="K555" s="356">
        <v>10</v>
      </c>
    </row>
    <row r="556" s="327" customFormat="1" ht="25" customHeight="1" spans="1:11">
      <c r="A556" s="339">
        <v>546</v>
      </c>
      <c r="B556" s="340" t="s">
        <v>653</v>
      </c>
      <c r="C556" s="341" t="s">
        <v>1092</v>
      </c>
      <c r="D556" s="342" t="s">
        <v>1094</v>
      </c>
      <c r="E556" s="343">
        <v>3.78</v>
      </c>
      <c r="F556" s="343">
        <v>-3.78</v>
      </c>
      <c r="G556" s="343">
        <v>0</v>
      </c>
      <c r="H556" s="344"/>
      <c r="I556" s="354"/>
      <c r="J556" s="355">
        <v>2608</v>
      </c>
      <c r="K556" s="356"/>
    </row>
    <row r="557" s="327" customFormat="1" ht="25" customHeight="1" spans="1:11">
      <c r="A557" s="339">
        <v>547</v>
      </c>
      <c r="B557" s="340" t="s">
        <v>653</v>
      </c>
      <c r="C557" s="341" t="s">
        <v>1092</v>
      </c>
      <c r="D557" s="342" t="s">
        <v>1095</v>
      </c>
      <c r="E557" s="343">
        <v>31.32</v>
      </c>
      <c r="F557" s="343">
        <v>-26.32</v>
      </c>
      <c r="G557" s="343">
        <v>5</v>
      </c>
      <c r="H557" s="344"/>
      <c r="I557" s="354">
        <v>26</v>
      </c>
      <c r="J557" s="355">
        <v>2609</v>
      </c>
      <c r="K557" s="356">
        <v>26</v>
      </c>
    </row>
    <row r="558" s="327" customFormat="1" ht="25" customHeight="1" spans="1:11">
      <c r="A558" s="339">
        <v>548</v>
      </c>
      <c r="B558" s="340" t="s">
        <v>653</v>
      </c>
      <c r="C558" s="341" t="s">
        <v>1092</v>
      </c>
      <c r="D558" s="342" t="s">
        <v>1096</v>
      </c>
      <c r="E558" s="343">
        <v>24</v>
      </c>
      <c r="F558" s="343">
        <v>-0.5</v>
      </c>
      <c r="G558" s="343">
        <v>23.5</v>
      </c>
      <c r="H558" s="344"/>
      <c r="I558" s="354"/>
      <c r="J558" s="355">
        <v>2610</v>
      </c>
      <c r="K558" s="356"/>
    </row>
    <row r="559" s="327" customFormat="1" ht="25" customHeight="1" spans="1:11">
      <c r="A559" s="339">
        <v>549</v>
      </c>
      <c r="B559" s="340" t="s">
        <v>653</v>
      </c>
      <c r="C559" s="341" t="s">
        <v>1092</v>
      </c>
      <c r="D559" s="342" t="s">
        <v>1097</v>
      </c>
      <c r="E559" s="343">
        <v>4.68</v>
      </c>
      <c r="F559" s="343">
        <v>-0.2</v>
      </c>
      <c r="G559" s="343">
        <v>4.48</v>
      </c>
      <c r="H559" s="344"/>
      <c r="I559" s="354"/>
      <c r="J559" s="355">
        <v>2611</v>
      </c>
      <c r="K559" s="356"/>
    </row>
    <row r="560" s="327" customFormat="1" ht="25" customHeight="1" spans="1:11">
      <c r="A560" s="339">
        <v>550</v>
      </c>
      <c r="B560" s="340" t="s">
        <v>653</v>
      </c>
      <c r="C560" s="341" t="s">
        <v>1092</v>
      </c>
      <c r="D560" s="342" t="s">
        <v>1098</v>
      </c>
      <c r="E560" s="343">
        <v>80</v>
      </c>
      <c r="F560" s="343">
        <v>-80</v>
      </c>
      <c r="G560" s="343">
        <v>0</v>
      </c>
      <c r="H560" s="344"/>
      <c r="I560" s="354">
        <v>80</v>
      </c>
      <c r="J560" s="355">
        <v>2951</v>
      </c>
      <c r="K560" s="356"/>
    </row>
    <row r="561" s="327" customFormat="1" ht="25" customHeight="1" spans="1:11">
      <c r="A561" s="339">
        <v>551</v>
      </c>
      <c r="B561" s="340" t="s">
        <v>653</v>
      </c>
      <c r="C561" s="341" t="s">
        <v>1092</v>
      </c>
      <c r="D561" s="342" t="s">
        <v>1099</v>
      </c>
      <c r="E561" s="343">
        <v>10</v>
      </c>
      <c r="F561" s="343">
        <v>-10</v>
      </c>
      <c r="G561" s="343">
        <v>0</v>
      </c>
      <c r="H561" s="344"/>
      <c r="I561" s="354">
        <v>10</v>
      </c>
      <c r="J561" s="355">
        <v>2952</v>
      </c>
      <c r="K561" s="356"/>
    </row>
    <row r="562" s="327" customFormat="1" ht="25" customHeight="1" spans="1:11">
      <c r="A562" s="339">
        <v>552</v>
      </c>
      <c r="B562" s="340" t="s">
        <v>653</v>
      </c>
      <c r="C562" s="341" t="s">
        <v>1092</v>
      </c>
      <c r="D562" s="342" t="s">
        <v>1100</v>
      </c>
      <c r="E562" s="343">
        <v>300</v>
      </c>
      <c r="F562" s="343">
        <v>-300</v>
      </c>
      <c r="G562" s="343">
        <v>0</v>
      </c>
      <c r="H562" s="344"/>
      <c r="I562" s="354">
        <v>300</v>
      </c>
      <c r="J562" s="355">
        <v>2953</v>
      </c>
      <c r="K562" s="356"/>
    </row>
    <row r="563" s="327" customFormat="1" ht="25" customHeight="1" spans="1:11">
      <c r="A563" s="339">
        <v>553</v>
      </c>
      <c r="B563" s="340" t="s">
        <v>653</v>
      </c>
      <c r="C563" s="341" t="s">
        <v>1092</v>
      </c>
      <c r="D563" s="342" t="s">
        <v>1101</v>
      </c>
      <c r="E563" s="343">
        <v>5</v>
      </c>
      <c r="F563" s="343">
        <v>-0.8</v>
      </c>
      <c r="G563" s="343">
        <v>4.2</v>
      </c>
      <c r="H563" s="344"/>
      <c r="I563" s="354"/>
      <c r="J563" s="355">
        <v>2955</v>
      </c>
      <c r="K563" s="356"/>
    </row>
    <row r="564" s="327" customFormat="1" ht="25" customHeight="1" spans="1:11">
      <c r="A564" s="339">
        <v>554</v>
      </c>
      <c r="B564" s="340" t="s">
        <v>653</v>
      </c>
      <c r="C564" s="341" t="s">
        <v>1092</v>
      </c>
      <c r="D564" s="342" t="s">
        <v>1102</v>
      </c>
      <c r="E564" s="343">
        <v>120</v>
      </c>
      <c r="F564" s="343">
        <v>-120</v>
      </c>
      <c r="G564" s="343">
        <v>0</v>
      </c>
      <c r="H564" s="344"/>
      <c r="I564" s="354">
        <v>120</v>
      </c>
      <c r="J564" s="355">
        <v>2957</v>
      </c>
      <c r="K564" s="356"/>
    </row>
    <row r="565" s="327" customFormat="1" ht="25" customHeight="1" spans="1:11">
      <c r="A565" s="339">
        <v>555</v>
      </c>
      <c r="B565" s="340" t="s">
        <v>653</v>
      </c>
      <c r="C565" s="341" t="s">
        <v>1103</v>
      </c>
      <c r="D565" s="342" t="s">
        <v>1104</v>
      </c>
      <c r="E565" s="343">
        <v>5</v>
      </c>
      <c r="F565" s="343">
        <v>-2.23</v>
      </c>
      <c r="G565" s="343">
        <v>2.77</v>
      </c>
      <c r="H565" s="344"/>
      <c r="I565" s="354"/>
      <c r="J565" s="355">
        <v>2948</v>
      </c>
      <c r="K565" s="356"/>
    </row>
    <row r="566" s="327" customFormat="1" ht="25" customHeight="1" spans="1:11">
      <c r="A566" s="339">
        <v>556</v>
      </c>
      <c r="B566" s="340" t="s">
        <v>572</v>
      </c>
      <c r="C566" s="341" t="s">
        <v>1105</v>
      </c>
      <c r="D566" s="342" t="s">
        <v>1106</v>
      </c>
      <c r="E566" s="343">
        <v>28</v>
      </c>
      <c r="F566" s="343">
        <v>28</v>
      </c>
      <c r="G566" s="343">
        <v>56</v>
      </c>
      <c r="H566" s="344"/>
      <c r="I566" s="354"/>
      <c r="J566" s="355">
        <v>2035</v>
      </c>
      <c r="K566" s="356"/>
    </row>
    <row r="567" s="327" customFormat="1" ht="25" customHeight="1" spans="1:11">
      <c r="A567" s="339">
        <v>557</v>
      </c>
      <c r="B567" s="340" t="s">
        <v>521</v>
      </c>
      <c r="C567" s="341" t="s">
        <v>1105</v>
      </c>
      <c r="D567" s="342" t="s">
        <v>1107</v>
      </c>
      <c r="E567" s="343">
        <v>19</v>
      </c>
      <c r="F567" s="343">
        <v>-1.02</v>
      </c>
      <c r="G567" s="343">
        <v>17.98</v>
      </c>
      <c r="H567" s="344"/>
      <c r="I567" s="354"/>
      <c r="J567" s="355">
        <v>2031</v>
      </c>
      <c r="K567" s="356"/>
    </row>
    <row r="568" s="327" customFormat="1" ht="25" customHeight="1" spans="1:11">
      <c r="A568" s="339">
        <v>558</v>
      </c>
      <c r="B568" s="340" t="s">
        <v>521</v>
      </c>
      <c r="C568" s="341" t="s">
        <v>1105</v>
      </c>
      <c r="D568" s="342" t="s">
        <v>1108</v>
      </c>
      <c r="E568" s="343">
        <v>3.98</v>
      </c>
      <c r="F568" s="343">
        <v>-3.655</v>
      </c>
      <c r="G568" s="343">
        <v>0.325</v>
      </c>
      <c r="H568" s="344"/>
      <c r="I568" s="354"/>
      <c r="J568" s="355">
        <v>2038</v>
      </c>
      <c r="K568" s="356"/>
    </row>
    <row r="569" s="327" customFormat="1" ht="25" customHeight="1" spans="1:11">
      <c r="A569" s="339">
        <v>559</v>
      </c>
      <c r="B569" s="340" t="s">
        <v>521</v>
      </c>
      <c r="C569" s="341" t="s">
        <v>1105</v>
      </c>
      <c r="D569" s="342" t="s">
        <v>1109</v>
      </c>
      <c r="E569" s="343">
        <v>105.28</v>
      </c>
      <c r="F569" s="343">
        <v>-16.92</v>
      </c>
      <c r="G569" s="343">
        <v>88.36</v>
      </c>
      <c r="H569" s="344"/>
      <c r="I569" s="354">
        <v>16.92</v>
      </c>
      <c r="J569" s="355">
        <v>2042</v>
      </c>
      <c r="K569" s="356">
        <v>16.92</v>
      </c>
    </row>
    <row r="570" s="327" customFormat="1" ht="25" customHeight="1" spans="1:11">
      <c r="A570" s="339">
        <v>560</v>
      </c>
      <c r="B570" s="340" t="s">
        <v>521</v>
      </c>
      <c r="C570" s="341" t="s">
        <v>1105</v>
      </c>
      <c r="D570" s="342" t="s">
        <v>1110</v>
      </c>
      <c r="E570" s="343">
        <v>14</v>
      </c>
      <c r="F570" s="343">
        <v>-14</v>
      </c>
      <c r="G570" s="343">
        <v>0</v>
      </c>
      <c r="H570" s="344"/>
      <c r="I570" s="354"/>
      <c r="J570" s="355">
        <v>2044</v>
      </c>
      <c r="K570" s="356"/>
    </row>
    <row r="571" s="327" customFormat="1" ht="25" customHeight="1" spans="1:11">
      <c r="A571" s="339">
        <v>561</v>
      </c>
      <c r="B571" s="340" t="s">
        <v>521</v>
      </c>
      <c r="C571" s="341" t="s">
        <v>1105</v>
      </c>
      <c r="D571" s="342" t="s">
        <v>1111</v>
      </c>
      <c r="E571" s="343">
        <v>7.79</v>
      </c>
      <c r="F571" s="343">
        <v>-0.00560000000000027</v>
      </c>
      <c r="G571" s="343">
        <v>7.7844</v>
      </c>
      <c r="H571" s="344"/>
      <c r="I571" s="354"/>
      <c r="J571" s="355">
        <v>2045</v>
      </c>
      <c r="K571" s="356"/>
    </row>
    <row r="572" s="327" customFormat="1" ht="25" customHeight="1" spans="1:11">
      <c r="A572" s="339">
        <v>562</v>
      </c>
      <c r="B572" s="340" t="s">
        <v>521</v>
      </c>
      <c r="C572" s="341" t="s">
        <v>1105</v>
      </c>
      <c r="D572" s="342" t="s">
        <v>1110</v>
      </c>
      <c r="E572" s="343">
        <v>14</v>
      </c>
      <c r="F572" s="343">
        <v>-14</v>
      </c>
      <c r="G572" s="343">
        <v>0</v>
      </c>
      <c r="H572" s="344"/>
      <c r="I572" s="354"/>
      <c r="J572" s="355">
        <v>2046</v>
      </c>
      <c r="K572" s="356"/>
    </row>
    <row r="573" s="327" customFormat="1" ht="25" customHeight="1" spans="1:11">
      <c r="A573" s="339">
        <v>563</v>
      </c>
      <c r="B573" s="340" t="s">
        <v>521</v>
      </c>
      <c r="C573" s="341" t="s">
        <v>1105</v>
      </c>
      <c r="D573" s="342" t="s">
        <v>1112</v>
      </c>
      <c r="E573" s="343">
        <v>10</v>
      </c>
      <c r="F573" s="343">
        <v>-10</v>
      </c>
      <c r="G573" s="343">
        <v>0</v>
      </c>
      <c r="H573" s="344"/>
      <c r="I573" s="354">
        <v>10</v>
      </c>
      <c r="J573" s="355">
        <v>2196</v>
      </c>
      <c r="K573" s="356">
        <v>10</v>
      </c>
    </row>
    <row r="574" s="327" customFormat="1" ht="25" customHeight="1" spans="1:11">
      <c r="A574" s="339">
        <v>564</v>
      </c>
      <c r="B574" s="340" t="s">
        <v>611</v>
      </c>
      <c r="C574" s="341" t="s">
        <v>1105</v>
      </c>
      <c r="D574" s="342" t="s">
        <v>1113</v>
      </c>
      <c r="E574" s="343">
        <v>19.11</v>
      </c>
      <c r="F574" s="343">
        <v>-0.00399200000000022</v>
      </c>
      <c r="G574" s="343">
        <v>19.106008</v>
      </c>
      <c r="H574" s="344"/>
      <c r="I574" s="354"/>
      <c r="J574" s="355">
        <v>2037</v>
      </c>
      <c r="K574" s="356"/>
    </row>
    <row r="575" s="327" customFormat="1" ht="25" customHeight="1" spans="1:11">
      <c r="A575" s="339">
        <v>565</v>
      </c>
      <c r="B575" s="340" t="s">
        <v>521</v>
      </c>
      <c r="C575" s="341" t="s">
        <v>1114</v>
      </c>
      <c r="D575" s="342" t="s">
        <v>1115</v>
      </c>
      <c r="E575" s="343">
        <v>0</v>
      </c>
      <c r="F575" s="343">
        <v>153</v>
      </c>
      <c r="G575" s="343">
        <v>153</v>
      </c>
      <c r="H575" s="344"/>
      <c r="I575" s="354"/>
      <c r="J575" s="355"/>
      <c r="K575" s="356"/>
    </row>
    <row r="576" s="327" customFormat="1" ht="25" customHeight="1" spans="1:11">
      <c r="A576" s="339">
        <v>566</v>
      </c>
      <c r="B576" s="340" t="s">
        <v>572</v>
      </c>
      <c r="C576" s="341" t="s">
        <v>1114</v>
      </c>
      <c r="D576" s="342" t="s">
        <v>1116</v>
      </c>
      <c r="E576" s="343">
        <v>100</v>
      </c>
      <c r="F576" s="343">
        <v>-100</v>
      </c>
      <c r="G576" s="343">
        <v>0</v>
      </c>
      <c r="H576" s="344"/>
      <c r="I576" s="354"/>
      <c r="J576" s="355">
        <v>3574</v>
      </c>
      <c r="K576" s="356"/>
    </row>
    <row r="577" s="327" customFormat="1" ht="25" customHeight="1" spans="1:11">
      <c r="A577" s="339">
        <v>567</v>
      </c>
      <c r="B577" s="340" t="s">
        <v>516</v>
      </c>
      <c r="C577" s="341" t="s">
        <v>1114</v>
      </c>
      <c r="D577" s="342" t="s">
        <v>1117</v>
      </c>
      <c r="E577" s="343">
        <v>300</v>
      </c>
      <c r="F577" s="343">
        <v>-300</v>
      </c>
      <c r="G577" s="343">
        <v>0</v>
      </c>
      <c r="H577" s="344"/>
      <c r="I577" s="354"/>
      <c r="J577" s="355">
        <v>545</v>
      </c>
      <c r="K577" s="356"/>
    </row>
    <row r="578" s="327" customFormat="1" ht="25" customHeight="1" spans="1:11">
      <c r="A578" s="339">
        <v>568</v>
      </c>
      <c r="B578" s="340" t="s">
        <v>516</v>
      </c>
      <c r="C578" s="341" t="s">
        <v>1114</v>
      </c>
      <c r="D578" s="342" t="s">
        <v>1118</v>
      </c>
      <c r="E578" s="343">
        <v>0.74</v>
      </c>
      <c r="F578" s="343">
        <v>-0.74</v>
      </c>
      <c r="G578" s="343">
        <v>0</v>
      </c>
      <c r="H578" s="344"/>
      <c r="I578" s="354">
        <v>0.74</v>
      </c>
      <c r="J578" s="355">
        <v>549</v>
      </c>
      <c r="K578" s="356">
        <v>0.74</v>
      </c>
    </row>
    <row r="579" s="327" customFormat="1" ht="25" customHeight="1" spans="1:11">
      <c r="A579" s="339">
        <v>569</v>
      </c>
      <c r="B579" s="340" t="s">
        <v>516</v>
      </c>
      <c r="C579" s="341" t="s">
        <v>1114</v>
      </c>
      <c r="D579" s="342" t="s">
        <v>1119</v>
      </c>
      <c r="E579" s="343">
        <v>147</v>
      </c>
      <c r="F579" s="343">
        <v>-147</v>
      </c>
      <c r="G579" s="343">
        <v>0</v>
      </c>
      <c r="H579" s="344"/>
      <c r="I579" s="354"/>
      <c r="J579" s="355">
        <v>2898</v>
      </c>
      <c r="K579" s="356"/>
    </row>
    <row r="580" s="327" customFormat="1" ht="25" customHeight="1" spans="1:11">
      <c r="A580" s="339">
        <v>570</v>
      </c>
      <c r="B580" s="340" t="s">
        <v>516</v>
      </c>
      <c r="C580" s="341" t="s">
        <v>1114</v>
      </c>
      <c r="D580" s="342" t="s">
        <v>1120</v>
      </c>
      <c r="E580" s="343">
        <v>240</v>
      </c>
      <c r="F580" s="343">
        <v>-240</v>
      </c>
      <c r="G580" s="343">
        <v>0</v>
      </c>
      <c r="H580" s="344"/>
      <c r="I580" s="354"/>
      <c r="J580" s="355">
        <v>2899</v>
      </c>
      <c r="K580" s="356"/>
    </row>
    <row r="581" s="327" customFormat="1" ht="25" customHeight="1" spans="1:11">
      <c r="A581" s="339">
        <v>571</v>
      </c>
      <c r="B581" s="340" t="s">
        <v>516</v>
      </c>
      <c r="C581" s="341" t="s">
        <v>1114</v>
      </c>
      <c r="D581" s="342" t="s">
        <v>1121</v>
      </c>
      <c r="E581" s="343">
        <v>20</v>
      </c>
      <c r="F581" s="343">
        <v>-20</v>
      </c>
      <c r="G581" s="343">
        <v>0</v>
      </c>
      <c r="H581" s="344"/>
      <c r="I581" s="354"/>
      <c r="J581" s="355">
        <v>2900</v>
      </c>
      <c r="K581" s="356"/>
    </row>
    <row r="582" s="327" customFormat="1" ht="25" customHeight="1" spans="1:11">
      <c r="A582" s="339">
        <v>572</v>
      </c>
      <c r="B582" s="340" t="s">
        <v>516</v>
      </c>
      <c r="C582" s="341" t="s">
        <v>1114</v>
      </c>
      <c r="D582" s="342" t="s">
        <v>1122</v>
      </c>
      <c r="E582" s="343">
        <v>4</v>
      </c>
      <c r="F582" s="343">
        <v>-2.8</v>
      </c>
      <c r="G582" s="343">
        <v>1.2</v>
      </c>
      <c r="H582" s="344" t="s">
        <v>1123</v>
      </c>
      <c r="I582" s="354"/>
      <c r="J582" s="355">
        <v>3055</v>
      </c>
      <c r="K582" s="356"/>
    </row>
    <row r="583" s="327" customFormat="1" ht="25" customHeight="1" spans="1:11">
      <c r="A583" s="339">
        <v>573</v>
      </c>
      <c r="B583" s="340" t="s">
        <v>516</v>
      </c>
      <c r="C583" s="341" t="s">
        <v>1114</v>
      </c>
      <c r="D583" s="342" t="s">
        <v>1124</v>
      </c>
      <c r="E583" s="343">
        <v>4.1</v>
      </c>
      <c r="F583" s="343">
        <v>-4.1</v>
      </c>
      <c r="G583" s="343">
        <v>0</v>
      </c>
      <c r="H583" s="344"/>
      <c r="I583" s="354">
        <v>4.1</v>
      </c>
      <c r="J583" s="355">
        <v>3161</v>
      </c>
      <c r="K583" s="356">
        <v>4.1</v>
      </c>
    </row>
    <row r="584" s="327" customFormat="1" ht="25" customHeight="1" spans="1:11">
      <c r="A584" s="339">
        <v>574</v>
      </c>
      <c r="B584" s="340" t="s">
        <v>516</v>
      </c>
      <c r="C584" s="341" t="s">
        <v>1114</v>
      </c>
      <c r="D584" s="342" t="s">
        <v>487</v>
      </c>
      <c r="E584" s="343">
        <v>2000</v>
      </c>
      <c r="F584" s="343">
        <v>-2000</v>
      </c>
      <c r="G584" s="343">
        <v>0</v>
      </c>
      <c r="H584" s="344"/>
      <c r="I584" s="354"/>
      <c r="J584" s="355">
        <v>3568</v>
      </c>
      <c r="K584" s="356"/>
    </row>
    <row r="585" s="327" customFormat="1" ht="25" customHeight="1" spans="1:11">
      <c r="A585" s="339">
        <v>575</v>
      </c>
      <c r="B585" s="340" t="s">
        <v>516</v>
      </c>
      <c r="C585" s="341" t="s">
        <v>1114</v>
      </c>
      <c r="D585" s="342" t="s">
        <v>1125</v>
      </c>
      <c r="E585" s="343">
        <v>25</v>
      </c>
      <c r="F585" s="343">
        <v>-25</v>
      </c>
      <c r="G585" s="343">
        <v>0</v>
      </c>
      <c r="H585" s="344"/>
      <c r="I585" s="354"/>
      <c r="J585" s="355">
        <v>3577</v>
      </c>
      <c r="K585" s="356"/>
    </row>
    <row r="586" s="327" customFormat="1" ht="25" customHeight="1" spans="1:11">
      <c r="A586" s="339">
        <v>576</v>
      </c>
      <c r="B586" s="340" t="s">
        <v>516</v>
      </c>
      <c r="C586" s="341" t="s">
        <v>1114</v>
      </c>
      <c r="D586" s="342" t="s">
        <v>1126</v>
      </c>
      <c r="E586" s="343">
        <v>1115</v>
      </c>
      <c r="F586" s="343">
        <v>-0.5</v>
      </c>
      <c r="G586" s="343">
        <v>1114.5</v>
      </c>
      <c r="H586" s="344"/>
      <c r="I586" s="354"/>
      <c r="J586" s="355">
        <v>3597</v>
      </c>
      <c r="K586" s="356"/>
    </row>
    <row r="587" s="327" customFormat="1" ht="25" customHeight="1" spans="1:11">
      <c r="A587" s="339">
        <v>577</v>
      </c>
      <c r="B587" s="340" t="s">
        <v>516</v>
      </c>
      <c r="C587" s="341" t="s">
        <v>1114</v>
      </c>
      <c r="D587" s="342" t="s">
        <v>1127</v>
      </c>
      <c r="E587" s="343">
        <v>0</v>
      </c>
      <c r="F587" s="343">
        <v>28.72</v>
      </c>
      <c r="G587" s="343">
        <v>28.72</v>
      </c>
      <c r="H587" s="344" t="s">
        <v>1128</v>
      </c>
      <c r="I587" s="354"/>
      <c r="J587" s="355">
        <v>3600</v>
      </c>
      <c r="K587" s="356"/>
    </row>
    <row r="588" s="327" customFormat="1" ht="25" customHeight="1" spans="1:11">
      <c r="A588" s="339">
        <v>578</v>
      </c>
      <c r="B588" s="340" t="s">
        <v>516</v>
      </c>
      <c r="C588" s="341" t="s">
        <v>1114</v>
      </c>
      <c r="D588" s="342" t="s">
        <v>1129</v>
      </c>
      <c r="E588" s="343">
        <v>0</v>
      </c>
      <c r="F588" s="343">
        <v>56.24</v>
      </c>
      <c r="G588" s="343">
        <v>56.24</v>
      </c>
      <c r="H588" s="344" t="s">
        <v>1130</v>
      </c>
      <c r="I588" s="354"/>
      <c r="J588" s="355">
        <v>3601</v>
      </c>
      <c r="K588" s="356"/>
    </row>
    <row r="589" s="327" customFormat="1" ht="25" customHeight="1" spans="1:11">
      <c r="A589" s="339">
        <v>579</v>
      </c>
      <c r="B589" s="340" t="s">
        <v>516</v>
      </c>
      <c r="C589" s="341" t="s">
        <v>1114</v>
      </c>
      <c r="D589" s="342" t="s">
        <v>1131</v>
      </c>
      <c r="E589" s="343">
        <v>0</v>
      </c>
      <c r="F589" s="343">
        <v>1348</v>
      </c>
      <c r="G589" s="343">
        <v>1348</v>
      </c>
      <c r="H589" s="344" t="s">
        <v>1132</v>
      </c>
      <c r="I589" s="354"/>
      <c r="J589" s="355">
        <v>3602</v>
      </c>
      <c r="K589" s="356"/>
    </row>
    <row r="590" s="327" customFormat="1" ht="25" customHeight="1" spans="1:11">
      <c r="A590" s="339">
        <v>580</v>
      </c>
      <c r="B590" s="340" t="s">
        <v>516</v>
      </c>
      <c r="C590" s="341" t="s">
        <v>1114</v>
      </c>
      <c r="D590" s="342" t="s">
        <v>1133</v>
      </c>
      <c r="E590" s="343">
        <v>50</v>
      </c>
      <c r="F590" s="343">
        <v>-48.9</v>
      </c>
      <c r="G590" s="343">
        <v>1.09999999999999</v>
      </c>
      <c r="H590" s="344"/>
      <c r="I590" s="354"/>
      <c r="J590" s="355">
        <v>3614</v>
      </c>
      <c r="K590" s="356"/>
    </row>
    <row r="591" s="327" customFormat="1" ht="25" customHeight="1" spans="1:11">
      <c r="A591" s="339">
        <v>581</v>
      </c>
      <c r="B591" s="340" t="s">
        <v>521</v>
      </c>
      <c r="C591" s="341" t="s">
        <v>1114</v>
      </c>
      <c r="D591" s="342" t="s">
        <v>1134</v>
      </c>
      <c r="E591" s="343">
        <v>3.8869</v>
      </c>
      <c r="F591" s="343">
        <v>-3.8869</v>
      </c>
      <c r="G591" s="343">
        <v>0</v>
      </c>
      <c r="H591" s="344"/>
      <c r="I591" s="354"/>
      <c r="J591" s="355">
        <v>2153</v>
      </c>
      <c r="K591" s="356"/>
    </row>
    <row r="592" s="327" customFormat="1" ht="25" customHeight="1" spans="1:11">
      <c r="A592" s="339">
        <v>582</v>
      </c>
      <c r="B592" s="340" t="s">
        <v>521</v>
      </c>
      <c r="C592" s="341" t="s">
        <v>1114</v>
      </c>
      <c r="D592" s="342" t="s">
        <v>1134</v>
      </c>
      <c r="E592" s="343">
        <v>248.801553</v>
      </c>
      <c r="F592" s="343">
        <v>-213.801553</v>
      </c>
      <c r="G592" s="343">
        <v>35</v>
      </c>
      <c r="H592" s="344"/>
      <c r="I592" s="354"/>
      <c r="J592" s="355">
        <v>2558</v>
      </c>
      <c r="K592" s="356"/>
    </row>
    <row r="593" s="327" customFormat="1" ht="25" customHeight="1" spans="1:11">
      <c r="A593" s="339">
        <v>583</v>
      </c>
      <c r="B593" s="340" t="s">
        <v>540</v>
      </c>
      <c r="C593" s="341" t="s">
        <v>1114</v>
      </c>
      <c r="D593" s="342" t="s">
        <v>1135</v>
      </c>
      <c r="E593" s="343">
        <v>20</v>
      </c>
      <c r="F593" s="343">
        <v>-20</v>
      </c>
      <c r="G593" s="343">
        <v>0</v>
      </c>
      <c r="H593" s="344"/>
      <c r="I593" s="354"/>
      <c r="J593" s="355">
        <v>238</v>
      </c>
      <c r="K593" s="356"/>
    </row>
    <row r="594" s="327" customFormat="1" ht="25" customHeight="1" spans="1:11">
      <c r="A594" s="339">
        <v>584</v>
      </c>
      <c r="B594" s="340" t="s">
        <v>540</v>
      </c>
      <c r="C594" s="341" t="s">
        <v>1114</v>
      </c>
      <c r="D594" s="342" t="s">
        <v>1136</v>
      </c>
      <c r="E594" s="343">
        <v>20</v>
      </c>
      <c r="F594" s="343">
        <v>-20</v>
      </c>
      <c r="G594" s="343">
        <v>0</v>
      </c>
      <c r="H594" s="344"/>
      <c r="I594" s="354"/>
      <c r="J594" s="355">
        <v>707</v>
      </c>
      <c r="K594" s="356"/>
    </row>
    <row r="595" s="327" customFormat="1" ht="25" customHeight="1" spans="1:11">
      <c r="A595" s="339">
        <v>585</v>
      </c>
      <c r="B595" s="340" t="s">
        <v>540</v>
      </c>
      <c r="C595" s="341" t="s">
        <v>1114</v>
      </c>
      <c r="D595" s="342" t="s">
        <v>1137</v>
      </c>
      <c r="E595" s="343">
        <v>20</v>
      </c>
      <c r="F595" s="343">
        <v>-20</v>
      </c>
      <c r="G595" s="343">
        <v>0</v>
      </c>
      <c r="H595" s="344"/>
      <c r="I595" s="354"/>
      <c r="J595" s="355">
        <v>3046</v>
      </c>
      <c r="K595" s="356"/>
    </row>
    <row r="596" s="327" customFormat="1" ht="25" customHeight="1" spans="1:11">
      <c r="A596" s="339">
        <v>586</v>
      </c>
      <c r="B596" s="340" t="s">
        <v>540</v>
      </c>
      <c r="C596" s="341" t="s">
        <v>1114</v>
      </c>
      <c r="D596" s="342" t="s">
        <v>1138</v>
      </c>
      <c r="E596" s="343">
        <v>50</v>
      </c>
      <c r="F596" s="343">
        <v>-50</v>
      </c>
      <c r="G596" s="343">
        <v>0</v>
      </c>
      <c r="H596" s="344"/>
      <c r="I596" s="354"/>
      <c r="J596" s="355">
        <v>3067</v>
      </c>
      <c r="K596" s="356"/>
    </row>
    <row r="597" s="327" customFormat="1" ht="25" customHeight="1" spans="1:11">
      <c r="A597" s="339">
        <v>587</v>
      </c>
      <c r="B597" s="340" t="s">
        <v>540</v>
      </c>
      <c r="C597" s="341" t="s">
        <v>1114</v>
      </c>
      <c r="D597" s="342" t="s">
        <v>1139</v>
      </c>
      <c r="E597" s="343">
        <v>3</v>
      </c>
      <c r="F597" s="343">
        <v>-3</v>
      </c>
      <c r="G597" s="343">
        <v>0</v>
      </c>
      <c r="H597" s="344"/>
      <c r="I597" s="354">
        <v>3</v>
      </c>
      <c r="J597" s="355">
        <v>3068</v>
      </c>
      <c r="K597" s="356">
        <v>3</v>
      </c>
    </row>
    <row r="598" s="327" customFormat="1" ht="25" customHeight="1" spans="1:11">
      <c r="A598" s="339">
        <v>588</v>
      </c>
      <c r="B598" s="340" t="s">
        <v>540</v>
      </c>
      <c r="C598" s="341" t="s">
        <v>1114</v>
      </c>
      <c r="D598" s="342" t="s">
        <v>1140</v>
      </c>
      <c r="E598" s="343">
        <v>490</v>
      </c>
      <c r="F598" s="343">
        <v>-490</v>
      </c>
      <c r="G598" s="343">
        <v>0</v>
      </c>
      <c r="H598" s="344"/>
      <c r="I598" s="354">
        <v>490</v>
      </c>
      <c r="J598" s="355">
        <v>3070</v>
      </c>
      <c r="K598" s="356">
        <v>490</v>
      </c>
    </row>
    <row r="599" s="327" customFormat="1" ht="25" customHeight="1" spans="1:11">
      <c r="A599" s="339">
        <v>589</v>
      </c>
      <c r="B599" s="340" t="s">
        <v>540</v>
      </c>
      <c r="C599" s="341" t="s">
        <v>1114</v>
      </c>
      <c r="D599" s="342" t="s">
        <v>1141</v>
      </c>
      <c r="E599" s="343">
        <v>175.446776</v>
      </c>
      <c r="F599" s="343">
        <v>-175.446776</v>
      </c>
      <c r="G599" s="343">
        <v>0</v>
      </c>
      <c r="H599" s="344"/>
      <c r="I599" s="354"/>
      <c r="J599" s="355">
        <v>3182</v>
      </c>
      <c r="K599" s="356"/>
    </row>
    <row r="600" s="327" customFormat="1" ht="25" customHeight="1" spans="1:11">
      <c r="A600" s="339">
        <v>590</v>
      </c>
      <c r="B600" s="340" t="s">
        <v>540</v>
      </c>
      <c r="C600" s="341" t="s">
        <v>1114</v>
      </c>
      <c r="D600" s="342" t="s">
        <v>1142</v>
      </c>
      <c r="E600" s="343">
        <v>2</v>
      </c>
      <c r="F600" s="343">
        <v>-2</v>
      </c>
      <c r="G600" s="343">
        <v>0</v>
      </c>
      <c r="H600" s="344"/>
      <c r="I600" s="354"/>
      <c r="J600" s="355">
        <v>3183</v>
      </c>
      <c r="K600" s="356"/>
    </row>
    <row r="601" s="327" customFormat="1" ht="25" customHeight="1" spans="1:11">
      <c r="A601" s="339">
        <v>591</v>
      </c>
      <c r="B601" s="340" t="s">
        <v>540</v>
      </c>
      <c r="C601" s="341" t="s">
        <v>1114</v>
      </c>
      <c r="D601" s="342" t="s">
        <v>1143</v>
      </c>
      <c r="E601" s="343">
        <v>14</v>
      </c>
      <c r="F601" s="343">
        <v>-14</v>
      </c>
      <c r="G601" s="343">
        <v>0</v>
      </c>
      <c r="H601" s="344"/>
      <c r="I601" s="354"/>
      <c r="J601" s="355">
        <v>3184</v>
      </c>
      <c r="K601" s="356"/>
    </row>
    <row r="602" s="327" customFormat="1" ht="25" customHeight="1" spans="1:11">
      <c r="A602" s="339">
        <v>592</v>
      </c>
      <c r="B602" s="340" t="s">
        <v>611</v>
      </c>
      <c r="C602" s="341" t="s">
        <v>1114</v>
      </c>
      <c r="D602" s="342" t="s">
        <v>1144</v>
      </c>
      <c r="E602" s="343">
        <v>500</v>
      </c>
      <c r="F602" s="343">
        <v>-366.175749</v>
      </c>
      <c r="G602" s="343">
        <v>133.824251</v>
      </c>
      <c r="H602" s="344"/>
      <c r="I602" s="354"/>
      <c r="J602" s="355">
        <v>235</v>
      </c>
      <c r="K602" s="356"/>
    </row>
    <row r="603" s="327" customFormat="1" ht="25" customHeight="1" spans="1:11">
      <c r="A603" s="339">
        <v>593</v>
      </c>
      <c r="B603" s="340" t="s">
        <v>611</v>
      </c>
      <c r="C603" s="341" t="s">
        <v>1114</v>
      </c>
      <c r="D603" s="342" t="s">
        <v>1145</v>
      </c>
      <c r="E603" s="343">
        <v>10</v>
      </c>
      <c r="F603" s="343">
        <v>-10</v>
      </c>
      <c r="G603" s="343">
        <v>0</v>
      </c>
      <c r="H603" s="344"/>
      <c r="I603" s="354"/>
      <c r="J603" s="355">
        <v>239</v>
      </c>
      <c r="K603" s="356"/>
    </row>
    <row r="604" s="327" customFormat="1" ht="25" customHeight="1" spans="1:11">
      <c r="A604" s="339">
        <v>594</v>
      </c>
      <c r="B604" s="340" t="s">
        <v>1146</v>
      </c>
      <c r="C604" s="341" t="s">
        <v>1114</v>
      </c>
      <c r="D604" s="342" t="s">
        <v>1147</v>
      </c>
      <c r="E604" s="343">
        <v>15</v>
      </c>
      <c r="F604" s="343">
        <v>-15</v>
      </c>
      <c r="G604" s="343">
        <v>0</v>
      </c>
      <c r="H604" s="344"/>
      <c r="I604" s="354"/>
      <c r="J604" s="355">
        <v>3283</v>
      </c>
      <c r="K604" s="356"/>
    </row>
    <row r="605" s="327" customFormat="1" ht="25" customHeight="1" spans="1:11">
      <c r="A605" s="339">
        <v>595</v>
      </c>
      <c r="B605" s="340" t="s">
        <v>563</v>
      </c>
      <c r="C605" s="341" t="s">
        <v>1114</v>
      </c>
      <c r="D605" s="342" t="s">
        <v>1148</v>
      </c>
      <c r="E605" s="343">
        <v>1.5</v>
      </c>
      <c r="F605" s="343">
        <v>-1.5</v>
      </c>
      <c r="G605" s="343">
        <v>0</v>
      </c>
      <c r="H605" s="344"/>
      <c r="I605" s="354"/>
      <c r="J605" s="355">
        <v>814</v>
      </c>
      <c r="K605" s="356"/>
    </row>
    <row r="606" s="327" customFormat="1" ht="25" customHeight="1" spans="1:11">
      <c r="A606" s="339">
        <v>596</v>
      </c>
      <c r="B606" s="340" t="s">
        <v>563</v>
      </c>
      <c r="C606" s="341" t="s">
        <v>1114</v>
      </c>
      <c r="D606" s="342" t="s">
        <v>1149</v>
      </c>
      <c r="E606" s="343">
        <v>50</v>
      </c>
      <c r="F606" s="343">
        <v>-50</v>
      </c>
      <c r="G606" s="343">
        <v>0</v>
      </c>
      <c r="H606" s="344"/>
      <c r="I606" s="354"/>
      <c r="J606" s="355">
        <v>819</v>
      </c>
      <c r="K606" s="356"/>
    </row>
    <row r="607" s="327" customFormat="1" ht="25" customHeight="1" spans="1:11">
      <c r="A607" s="339">
        <v>597</v>
      </c>
      <c r="B607" s="340" t="s">
        <v>563</v>
      </c>
      <c r="C607" s="341" t="s">
        <v>1114</v>
      </c>
      <c r="D607" s="342" t="s">
        <v>1150</v>
      </c>
      <c r="E607" s="343">
        <v>500</v>
      </c>
      <c r="F607" s="343">
        <v>-500</v>
      </c>
      <c r="G607" s="343">
        <v>0</v>
      </c>
      <c r="H607" s="344"/>
      <c r="I607" s="354">
        <v>500</v>
      </c>
      <c r="J607" s="355">
        <v>820</v>
      </c>
      <c r="K607" s="356">
        <v>500</v>
      </c>
    </row>
    <row r="608" s="327" customFormat="1" ht="25" customHeight="1" spans="1:11">
      <c r="A608" s="339">
        <v>598</v>
      </c>
      <c r="B608" s="340" t="s">
        <v>563</v>
      </c>
      <c r="C608" s="341" t="s">
        <v>1114</v>
      </c>
      <c r="D608" s="342" t="s">
        <v>1151</v>
      </c>
      <c r="E608" s="343">
        <v>50</v>
      </c>
      <c r="F608" s="343">
        <v>-50</v>
      </c>
      <c r="G608" s="343">
        <v>0</v>
      </c>
      <c r="H608" s="344"/>
      <c r="I608" s="354"/>
      <c r="J608" s="355">
        <v>898</v>
      </c>
      <c r="K608" s="356"/>
    </row>
    <row r="609" s="327" customFormat="1" ht="25" customHeight="1" spans="1:11">
      <c r="A609" s="339">
        <v>599</v>
      </c>
      <c r="B609" s="340" t="s">
        <v>563</v>
      </c>
      <c r="C609" s="341" t="s">
        <v>1114</v>
      </c>
      <c r="D609" s="342" t="s">
        <v>1152</v>
      </c>
      <c r="E609" s="343">
        <v>964</v>
      </c>
      <c r="F609" s="343">
        <v>-964</v>
      </c>
      <c r="G609" s="343">
        <v>0</v>
      </c>
      <c r="H609" s="344"/>
      <c r="I609" s="354"/>
      <c r="J609" s="355">
        <v>1319</v>
      </c>
      <c r="K609" s="356"/>
    </row>
    <row r="610" s="327" customFormat="1" ht="25" customHeight="1" spans="1:11">
      <c r="A610" s="339">
        <v>600</v>
      </c>
      <c r="B610" s="340" t="s">
        <v>563</v>
      </c>
      <c r="C610" s="341" t="s">
        <v>1114</v>
      </c>
      <c r="D610" s="342" t="s">
        <v>1153</v>
      </c>
      <c r="E610" s="343">
        <v>56.355781</v>
      </c>
      <c r="F610" s="343">
        <v>-30</v>
      </c>
      <c r="G610" s="343">
        <v>26.355781</v>
      </c>
      <c r="H610" s="344"/>
      <c r="I610" s="354"/>
      <c r="J610" s="355">
        <v>3581</v>
      </c>
      <c r="K610" s="356"/>
    </row>
    <row r="611" s="327" customFormat="1" ht="25" customHeight="1" spans="1:11">
      <c r="A611" s="339">
        <v>601</v>
      </c>
      <c r="B611" s="340" t="s">
        <v>563</v>
      </c>
      <c r="C611" s="341" t="s">
        <v>1114</v>
      </c>
      <c r="D611" s="342" t="s">
        <v>1154</v>
      </c>
      <c r="E611" s="343">
        <v>8.279625</v>
      </c>
      <c r="F611" s="343">
        <v>-8.279625</v>
      </c>
      <c r="G611" s="343">
        <v>0</v>
      </c>
      <c r="H611" s="344"/>
      <c r="I611" s="354"/>
      <c r="J611" s="355">
        <v>3582</v>
      </c>
      <c r="K611" s="356"/>
    </row>
    <row r="612" s="327" customFormat="1" ht="25" customHeight="1" spans="1:11">
      <c r="A612" s="339">
        <v>602</v>
      </c>
      <c r="B612" s="340" t="s">
        <v>563</v>
      </c>
      <c r="C612" s="341" t="s">
        <v>1114</v>
      </c>
      <c r="D612" s="342" t="s">
        <v>1155</v>
      </c>
      <c r="E612" s="343">
        <v>24.25</v>
      </c>
      <c r="F612" s="343">
        <v>-24.25</v>
      </c>
      <c r="G612" s="343">
        <v>0</v>
      </c>
      <c r="H612" s="344"/>
      <c r="I612" s="354"/>
      <c r="J612" s="355">
        <v>3583</v>
      </c>
      <c r="K612" s="356"/>
    </row>
    <row r="613" s="327" customFormat="1" ht="25" customHeight="1" spans="1:11">
      <c r="A613" s="339">
        <v>603</v>
      </c>
      <c r="B613" s="340" t="s">
        <v>563</v>
      </c>
      <c r="C613" s="341" t="s">
        <v>1114</v>
      </c>
      <c r="D613" s="342" t="s">
        <v>1156</v>
      </c>
      <c r="E613" s="343">
        <v>4.36</v>
      </c>
      <c r="F613" s="343">
        <v>-4.36</v>
      </c>
      <c r="G613" s="343">
        <v>0</v>
      </c>
      <c r="H613" s="344"/>
      <c r="I613" s="354"/>
      <c r="J613" s="355">
        <v>3584</v>
      </c>
      <c r="K613" s="356"/>
    </row>
    <row r="614" s="327" customFormat="1" ht="25" customHeight="1" spans="1:11">
      <c r="A614" s="339">
        <v>604</v>
      </c>
      <c r="B614" s="340" t="s">
        <v>563</v>
      </c>
      <c r="C614" s="341" t="s">
        <v>1114</v>
      </c>
      <c r="D614" s="342" t="s">
        <v>1157</v>
      </c>
      <c r="E614" s="343">
        <v>144.5</v>
      </c>
      <c r="F614" s="343">
        <v>-144.5</v>
      </c>
      <c r="G614" s="343">
        <v>0</v>
      </c>
      <c r="H614" s="344"/>
      <c r="I614" s="354"/>
      <c r="J614" s="355">
        <v>3585</v>
      </c>
      <c r="K614" s="356"/>
    </row>
    <row r="615" s="327" customFormat="1" ht="25" customHeight="1" spans="1:11">
      <c r="A615" s="339">
        <v>605</v>
      </c>
      <c r="B615" s="340" t="s">
        <v>598</v>
      </c>
      <c r="C615" s="341" t="s">
        <v>1114</v>
      </c>
      <c r="D615" s="342" t="s">
        <v>1158</v>
      </c>
      <c r="E615" s="343">
        <v>60</v>
      </c>
      <c r="F615" s="343">
        <v>-30</v>
      </c>
      <c r="G615" s="343">
        <v>30</v>
      </c>
      <c r="H615" s="344"/>
      <c r="I615" s="354"/>
      <c r="J615" s="355">
        <v>3575</v>
      </c>
      <c r="K615" s="356"/>
    </row>
    <row r="616" s="327" customFormat="1" ht="25" customHeight="1" spans="1:11">
      <c r="A616" s="339">
        <v>606</v>
      </c>
      <c r="B616" s="340" t="s">
        <v>653</v>
      </c>
      <c r="C616" s="341" t="s">
        <v>1114</v>
      </c>
      <c r="D616" s="342" t="s">
        <v>1159</v>
      </c>
      <c r="E616" s="343">
        <v>79.66</v>
      </c>
      <c r="F616" s="343">
        <v>-79.66</v>
      </c>
      <c r="G616" s="343">
        <v>0</v>
      </c>
      <c r="H616" s="344"/>
      <c r="I616" s="354"/>
      <c r="J616" s="355">
        <v>1948</v>
      </c>
      <c r="K616" s="356"/>
    </row>
    <row r="617" s="327" customFormat="1" ht="25" customHeight="1" spans="1:11">
      <c r="A617" s="339">
        <v>607</v>
      </c>
      <c r="B617" s="340" t="s">
        <v>653</v>
      </c>
      <c r="C617" s="341" t="s">
        <v>1114</v>
      </c>
      <c r="D617" s="342" t="s">
        <v>1160</v>
      </c>
      <c r="E617" s="343">
        <v>10</v>
      </c>
      <c r="F617" s="343">
        <v>-10</v>
      </c>
      <c r="G617" s="343">
        <v>0</v>
      </c>
      <c r="H617" s="344"/>
      <c r="I617" s="354"/>
      <c r="J617" s="355">
        <v>2563</v>
      </c>
      <c r="K617" s="356"/>
    </row>
    <row r="618" s="327" customFormat="1" ht="25" customHeight="1" spans="1:11">
      <c r="A618" s="339">
        <v>608</v>
      </c>
      <c r="B618" s="340" t="s">
        <v>653</v>
      </c>
      <c r="C618" s="341" t="s">
        <v>1114</v>
      </c>
      <c r="D618" s="342" t="s">
        <v>1161</v>
      </c>
      <c r="E618" s="343">
        <v>1202.16</v>
      </c>
      <c r="F618" s="343">
        <v>-1202.16</v>
      </c>
      <c r="G618" s="343">
        <v>0</v>
      </c>
      <c r="H618" s="344"/>
      <c r="I618" s="354"/>
      <c r="J618" s="355">
        <v>3590</v>
      </c>
      <c r="K618" s="356"/>
    </row>
    <row r="619" s="327" customFormat="1" ht="25" customHeight="1" spans="1:11">
      <c r="A619" s="339">
        <v>609</v>
      </c>
      <c r="B619" s="340" t="s">
        <v>563</v>
      </c>
      <c r="C619" s="341" t="s">
        <v>1162</v>
      </c>
      <c r="D619" s="342" t="s">
        <v>590</v>
      </c>
      <c r="E619" s="343">
        <v>1.6</v>
      </c>
      <c r="F619" s="343">
        <v>-0.8</v>
      </c>
      <c r="G619" s="343">
        <v>0.8</v>
      </c>
      <c r="H619" s="344"/>
      <c r="I619" s="354"/>
      <c r="J619" s="355">
        <v>217</v>
      </c>
      <c r="K619" s="356"/>
    </row>
    <row r="620" s="327" customFormat="1" ht="25" customHeight="1" spans="1:11">
      <c r="A620" s="339">
        <v>610</v>
      </c>
      <c r="B620" s="340" t="s">
        <v>563</v>
      </c>
      <c r="C620" s="341" t="s">
        <v>1162</v>
      </c>
      <c r="D620" s="342" t="s">
        <v>1163</v>
      </c>
      <c r="E620" s="343">
        <v>1</v>
      </c>
      <c r="F620" s="343">
        <v>-0.8828</v>
      </c>
      <c r="G620" s="343">
        <v>0.1172</v>
      </c>
      <c r="H620" s="344"/>
      <c r="I620" s="354"/>
      <c r="J620" s="355">
        <v>229</v>
      </c>
      <c r="K620" s="356"/>
    </row>
    <row r="621" s="327" customFormat="1" ht="25" customHeight="1" spans="1:11">
      <c r="A621" s="339">
        <v>611</v>
      </c>
      <c r="B621" s="340" t="s">
        <v>563</v>
      </c>
      <c r="C621" s="341" t="s">
        <v>1162</v>
      </c>
      <c r="D621" s="342" t="s">
        <v>1164</v>
      </c>
      <c r="E621" s="343">
        <v>10</v>
      </c>
      <c r="F621" s="343">
        <v>-9.6627</v>
      </c>
      <c r="G621" s="343">
        <v>0.3373</v>
      </c>
      <c r="H621" s="344"/>
      <c r="I621" s="354"/>
      <c r="J621" s="355">
        <v>230</v>
      </c>
      <c r="K621" s="356"/>
    </row>
    <row r="622" s="327" customFormat="1" ht="25" customHeight="1" spans="1:11">
      <c r="A622" s="339">
        <v>612</v>
      </c>
      <c r="B622" s="340" t="s">
        <v>563</v>
      </c>
      <c r="C622" s="341" t="s">
        <v>1162</v>
      </c>
      <c r="D622" s="342" t="s">
        <v>1165</v>
      </c>
      <c r="E622" s="343">
        <v>87</v>
      </c>
      <c r="F622" s="343">
        <v>-53.7445</v>
      </c>
      <c r="G622" s="343">
        <v>33.2555</v>
      </c>
      <c r="H622" s="344"/>
      <c r="I622" s="354"/>
      <c r="J622" s="355">
        <v>233</v>
      </c>
      <c r="K622" s="356"/>
    </row>
    <row r="623" s="327" customFormat="1" ht="25" customHeight="1" spans="1:11">
      <c r="A623" s="339">
        <v>613</v>
      </c>
      <c r="B623" s="340" t="s">
        <v>563</v>
      </c>
      <c r="C623" s="341" t="s">
        <v>1162</v>
      </c>
      <c r="D623" s="342" t="s">
        <v>1166</v>
      </c>
      <c r="E623" s="343">
        <v>22</v>
      </c>
      <c r="F623" s="343">
        <v>-7.3</v>
      </c>
      <c r="G623" s="343">
        <v>14.7</v>
      </c>
      <c r="H623" s="344"/>
      <c r="I623" s="354"/>
      <c r="J623" s="355">
        <v>236</v>
      </c>
      <c r="K623" s="356"/>
    </row>
    <row r="624" s="327" customFormat="1" ht="25" customHeight="1" spans="1:11">
      <c r="A624" s="339">
        <v>614</v>
      </c>
      <c r="B624" s="340" t="s">
        <v>563</v>
      </c>
      <c r="C624" s="341" t="s">
        <v>1162</v>
      </c>
      <c r="D624" s="342" t="s">
        <v>1167</v>
      </c>
      <c r="E624" s="343">
        <v>5</v>
      </c>
      <c r="F624" s="343">
        <v>-1.357412</v>
      </c>
      <c r="G624" s="343">
        <v>3.642588</v>
      </c>
      <c r="H624" s="344"/>
      <c r="I624" s="354"/>
      <c r="J624" s="355">
        <v>240</v>
      </c>
      <c r="K624" s="356"/>
    </row>
    <row r="625" s="327" customFormat="1" ht="25" customHeight="1" spans="1:11">
      <c r="A625" s="339">
        <v>615</v>
      </c>
      <c r="B625" s="340" t="s">
        <v>563</v>
      </c>
      <c r="C625" s="341" t="s">
        <v>1162</v>
      </c>
      <c r="D625" s="342" t="s">
        <v>1168</v>
      </c>
      <c r="E625" s="343">
        <v>10</v>
      </c>
      <c r="F625" s="343">
        <v>-1.4</v>
      </c>
      <c r="G625" s="343">
        <v>8.6</v>
      </c>
      <c r="H625" s="344"/>
      <c r="I625" s="354"/>
      <c r="J625" s="355">
        <v>241</v>
      </c>
      <c r="K625" s="356"/>
    </row>
    <row r="626" s="327" customFormat="1" ht="25" customHeight="1" spans="1:11">
      <c r="A626" s="339">
        <v>616</v>
      </c>
      <c r="B626" s="340" t="s">
        <v>563</v>
      </c>
      <c r="C626" s="341" t="s">
        <v>1162</v>
      </c>
      <c r="D626" s="342" t="s">
        <v>1169</v>
      </c>
      <c r="E626" s="343">
        <v>15</v>
      </c>
      <c r="F626" s="343">
        <v>-12.284</v>
      </c>
      <c r="G626" s="343">
        <v>2.716</v>
      </c>
      <c r="H626" s="344"/>
      <c r="I626" s="354"/>
      <c r="J626" s="355">
        <v>242</v>
      </c>
      <c r="K626" s="356"/>
    </row>
    <row r="627" s="327" customFormat="1" ht="25" customHeight="1" spans="1:11">
      <c r="A627" s="339">
        <v>617</v>
      </c>
      <c r="B627" s="340" t="s">
        <v>563</v>
      </c>
      <c r="C627" s="341" t="s">
        <v>1162</v>
      </c>
      <c r="D627" s="342" t="s">
        <v>1170</v>
      </c>
      <c r="E627" s="343">
        <v>26</v>
      </c>
      <c r="F627" s="343">
        <v>-16</v>
      </c>
      <c r="G627" s="343">
        <v>10</v>
      </c>
      <c r="H627" s="344"/>
      <c r="I627" s="354">
        <v>16</v>
      </c>
      <c r="J627" s="355">
        <v>243</v>
      </c>
      <c r="K627" s="356">
        <v>10</v>
      </c>
    </row>
    <row r="628" s="327" customFormat="1" ht="25" customHeight="1" spans="1:11">
      <c r="A628" s="339">
        <v>618</v>
      </c>
      <c r="B628" s="340" t="s">
        <v>563</v>
      </c>
      <c r="C628" s="341" t="s">
        <v>1162</v>
      </c>
      <c r="D628" s="342" t="s">
        <v>1171</v>
      </c>
      <c r="E628" s="343">
        <v>117</v>
      </c>
      <c r="F628" s="343">
        <v>-11.973104</v>
      </c>
      <c r="G628" s="343">
        <v>105.026896</v>
      </c>
      <c r="H628" s="344"/>
      <c r="I628" s="354"/>
      <c r="J628" s="355">
        <v>247</v>
      </c>
      <c r="K628" s="356"/>
    </row>
    <row r="629" s="327" customFormat="1" ht="25" customHeight="1" spans="1:11">
      <c r="A629" s="339">
        <v>619</v>
      </c>
      <c r="B629" s="340" t="s">
        <v>563</v>
      </c>
      <c r="C629" s="341" t="s">
        <v>1162</v>
      </c>
      <c r="D629" s="342" t="s">
        <v>1172</v>
      </c>
      <c r="E629" s="343">
        <v>23</v>
      </c>
      <c r="F629" s="343">
        <v>-13.53752</v>
      </c>
      <c r="G629" s="343">
        <v>9.46248</v>
      </c>
      <c r="H629" s="344"/>
      <c r="I629" s="354"/>
      <c r="J629" s="355">
        <v>248</v>
      </c>
      <c r="K629" s="356"/>
    </row>
    <row r="630" s="327" customFormat="1" ht="25" customHeight="1" spans="1:11">
      <c r="A630" s="339">
        <v>620</v>
      </c>
      <c r="B630" s="340" t="s">
        <v>563</v>
      </c>
      <c r="C630" s="341" t="s">
        <v>1162</v>
      </c>
      <c r="D630" s="342" t="s">
        <v>1173</v>
      </c>
      <c r="E630" s="343">
        <v>30</v>
      </c>
      <c r="F630" s="343">
        <v>-4.15</v>
      </c>
      <c r="G630" s="343">
        <v>25.85</v>
      </c>
      <c r="H630" s="344"/>
      <c r="I630" s="354"/>
      <c r="J630" s="355">
        <v>249</v>
      </c>
      <c r="K630" s="356"/>
    </row>
    <row r="631" s="327" customFormat="1" ht="25" customHeight="1" spans="1:11">
      <c r="A631" s="339">
        <v>621</v>
      </c>
      <c r="B631" s="340" t="s">
        <v>563</v>
      </c>
      <c r="C631" s="341" t="s">
        <v>1162</v>
      </c>
      <c r="D631" s="342" t="s">
        <v>1174</v>
      </c>
      <c r="E631" s="343">
        <v>18</v>
      </c>
      <c r="F631" s="343">
        <v>-18</v>
      </c>
      <c r="G631" s="343">
        <v>0</v>
      </c>
      <c r="H631" s="344"/>
      <c r="I631" s="354"/>
      <c r="J631" s="355">
        <v>250</v>
      </c>
      <c r="K631" s="356"/>
    </row>
    <row r="632" s="327" customFormat="1" ht="25" customHeight="1" spans="1:11">
      <c r="A632" s="339">
        <v>622</v>
      </c>
      <c r="B632" s="340" t="s">
        <v>598</v>
      </c>
      <c r="C632" s="341" t="s">
        <v>1162</v>
      </c>
      <c r="D632" s="342" t="s">
        <v>1175</v>
      </c>
      <c r="E632" s="343">
        <v>25</v>
      </c>
      <c r="F632" s="343">
        <v>-25</v>
      </c>
      <c r="G632" s="343">
        <v>0</v>
      </c>
      <c r="H632" s="344"/>
      <c r="I632" s="354">
        <v>25</v>
      </c>
      <c r="J632" s="355">
        <v>703</v>
      </c>
      <c r="K632" s="356">
        <v>25</v>
      </c>
    </row>
    <row r="633" s="327" customFormat="1" ht="25" customHeight="1" spans="1:11">
      <c r="A633" s="339">
        <v>623</v>
      </c>
      <c r="B633" s="340" t="s">
        <v>653</v>
      </c>
      <c r="C633" s="341" t="s">
        <v>1176</v>
      </c>
      <c r="D633" s="342" t="s">
        <v>1177</v>
      </c>
      <c r="E633" s="343">
        <v>11.51</v>
      </c>
      <c r="F633" s="343">
        <v>-7.53</v>
      </c>
      <c r="G633" s="343">
        <v>3.98</v>
      </c>
      <c r="H633" s="344"/>
      <c r="I633" s="354">
        <v>7.53</v>
      </c>
      <c r="J633" s="355">
        <v>762</v>
      </c>
      <c r="K633" s="356">
        <v>7.53</v>
      </c>
    </row>
    <row r="634" s="327" customFormat="1" ht="25" customHeight="1" spans="1:11">
      <c r="A634" s="339">
        <v>624</v>
      </c>
      <c r="B634" s="340" t="s">
        <v>653</v>
      </c>
      <c r="C634" s="341" t="s">
        <v>1176</v>
      </c>
      <c r="D634" s="342" t="s">
        <v>1178</v>
      </c>
      <c r="E634" s="343">
        <v>4.2</v>
      </c>
      <c r="F634" s="343">
        <v>-4.2</v>
      </c>
      <c r="G634" s="343">
        <v>0</v>
      </c>
      <c r="H634" s="344"/>
      <c r="I634" s="354">
        <v>4.2</v>
      </c>
      <c r="J634" s="355">
        <v>3248</v>
      </c>
      <c r="K634" s="356">
        <v>4.2</v>
      </c>
    </row>
    <row r="635" s="327" customFormat="1" ht="25" customHeight="1" spans="1:11">
      <c r="A635" s="339">
        <v>625</v>
      </c>
      <c r="B635" s="340" t="s">
        <v>653</v>
      </c>
      <c r="C635" s="341" t="s">
        <v>1176</v>
      </c>
      <c r="D635" s="342" t="s">
        <v>1179</v>
      </c>
      <c r="E635" s="343">
        <v>22</v>
      </c>
      <c r="F635" s="343">
        <v>-12</v>
      </c>
      <c r="G635" s="343">
        <v>10</v>
      </c>
      <c r="H635" s="344"/>
      <c r="I635" s="354"/>
      <c r="J635" s="355">
        <v>3249</v>
      </c>
      <c r="K635" s="356"/>
    </row>
    <row r="636" s="327" customFormat="1" ht="25" customHeight="1" spans="1:11">
      <c r="A636" s="339">
        <v>626</v>
      </c>
      <c r="B636" s="340" t="s">
        <v>563</v>
      </c>
      <c r="C636" s="341" t="s">
        <v>1180</v>
      </c>
      <c r="D636" s="342" t="s">
        <v>1181</v>
      </c>
      <c r="E636" s="343">
        <v>12.86</v>
      </c>
      <c r="F636" s="343">
        <v>-12.86</v>
      </c>
      <c r="G636" s="343">
        <v>0</v>
      </c>
      <c r="H636" s="344"/>
      <c r="I636" s="354"/>
      <c r="J636" s="355">
        <v>735</v>
      </c>
      <c r="K636" s="356"/>
    </row>
    <row r="637" s="327" customFormat="1" ht="25" customHeight="1" spans="1:11">
      <c r="A637" s="339">
        <v>627</v>
      </c>
      <c r="B637" s="340" t="s">
        <v>563</v>
      </c>
      <c r="C637" s="341" t="s">
        <v>1180</v>
      </c>
      <c r="D637" s="342" t="s">
        <v>1181</v>
      </c>
      <c r="E637" s="343">
        <v>48.72</v>
      </c>
      <c r="F637" s="343">
        <v>-9.311468</v>
      </c>
      <c r="G637" s="343">
        <v>39.408532</v>
      </c>
      <c r="H637" s="344"/>
      <c r="I637" s="354"/>
      <c r="J637" s="355">
        <v>339</v>
      </c>
      <c r="K637" s="356"/>
    </row>
    <row r="638" s="327" customFormat="1" ht="25" customHeight="1" spans="1:11">
      <c r="A638" s="339">
        <v>628</v>
      </c>
      <c r="B638" s="340" t="s">
        <v>563</v>
      </c>
      <c r="C638" s="341" t="s">
        <v>1180</v>
      </c>
      <c r="D638" s="342" t="s">
        <v>1182</v>
      </c>
      <c r="E638" s="343">
        <v>9.84</v>
      </c>
      <c r="F638" s="343">
        <v>-2.04</v>
      </c>
      <c r="G638" s="343">
        <v>7.8</v>
      </c>
      <c r="H638" s="344"/>
      <c r="I638" s="354"/>
      <c r="J638" s="355">
        <v>340</v>
      </c>
      <c r="K638" s="356"/>
    </row>
    <row r="639" s="327" customFormat="1" ht="25" customHeight="1" spans="1:11">
      <c r="A639" s="339">
        <v>629</v>
      </c>
      <c r="B639" s="340" t="s">
        <v>563</v>
      </c>
      <c r="C639" s="341" t="s">
        <v>1180</v>
      </c>
      <c r="D639" s="342" t="s">
        <v>1183</v>
      </c>
      <c r="E639" s="343">
        <v>30</v>
      </c>
      <c r="F639" s="343">
        <v>-14.887046</v>
      </c>
      <c r="G639" s="343">
        <v>15.112954</v>
      </c>
      <c r="H639" s="344"/>
      <c r="I639" s="354"/>
      <c r="J639" s="355">
        <v>341</v>
      </c>
      <c r="K639" s="356"/>
    </row>
    <row r="640" s="327" customFormat="1" ht="25" customHeight="1" spans="1:11">
      <c r="A640" s="339">
        <v>630</v>
      </c>
      <c r="B640" s="340" t="s">
        <v>563</v>
      </c>
      <c r="C640" s="341" t="s">
        <v>1180</v>
      </c>
      <c r="D640" s="342" t="s">
        <v>1184</v>
      </c>
      <c r="E640" s="343">
        <v>6.18</v>
      </c>
      <c r="F640" s="343">
        <v>-0.479868</v>
      </c>
      <c r="G640" s="343">
        <v>5.700132</v>
      </c>
      <c r="H640" s="344"/>
      <c r="I640" s="354"/>
      <c r="J640" s="355">
        <v>342</v>
      </c>
      <c r="K640" s="356"/>
    </row>
    <row r="641" s="327" customFormat="1" ht="25" customHeight="1" spans="1:11">
      <c r="A641" s="339">
        <v>631</v>
      </c>
      <c r="B641" s="340" t="s">
        <v>563</v>
      </c>
      <c r="C641" s="341" t="s">
        <v>1185</v>
      </c>
      <c r="D641" s="342" t="s">
        <v>1186</v>
      </c>
      <c r="E641" s="343">
        <v>40</v>
      </c>
      <c r="F641" s="343">
        <v>-40</v>
      </c>
      <c r="G641" s="343">
        <v>0</v>
      </c>
      <c r="H641" s="344"/>
      <c r="I641" s="354">
        <v>40</v>
      </c>
      <c r="J641" s="355">
        <v>821</v>
      </c>
      <c r="K641" s="356">
        <v>40</v>
      </c>
    </row>
    <row r="642" s="327" customFormat="1" ht="25" customHeight="1" spans="1:11">
      <c r="A642" s="339">
        <v>632</v>
      </c>
      <c r="B642" s="340" t="s">
        <v>563</v>
      </c>
      <c r="C642" s="341" t="s">
        <v>1185</v>
      </c>
      <c r="D642" s="342" t="s">
        <v>1187</v>
      </c>
      <c r="E642" s="343">
        <v>1193.28</v>
      </c>
      <c r="F642" s="343">
        <v>-209.32</v>
      </c>
      <c r="G642" s="343">
        <v>983.96</v>
      </c>
      <c r="H642" s="344"/>
      <c r="I642" s="354">
        <v>209.32</v>
      </c>
      <c r="J642" s="355">
        <v>822</v>
      </c>
      <c r="K642" s="356">
        <v>209.32</v>
      </c>
    </row>
    <row r="643" s="327" customFormat="1" ht="25" customHeight="1" spans="1:11">
      <c r="A643" s="339">
        <v>633</v>
      </c>
      <c r="B643" s="340" t="s">
        <v>563</v>
      </c>
      <c r="C643" s="341" t="s">
        <v>1185</v>
      </c>
      <c r="D643" s="342" t="s">
        <v>1188</v>
      </c>
      <c r="E643" s="343">
        <v>56.4</v>
      </c>
      <c r="F643" s="343">
        <v>-11.577</v>
      </c>
      <c r="G643" s="343">
        <v>44.823</v>
      </c>
      <c r="H643" s="344"/>
      <c r="I643" s="354">
        <v>11.58</v>
      </c>
      <c r="J643" s="355">
        <v>823</v>
      </c>
      <c r="K643" s="356">
        <v>11.58</v>
      </c>
    </row>
    <row r="644" s="327" customFormat="1" ht="25" customHeight="1" spans="1:11">
      <c r="A644" s="339">
        <v>634</v>
      </c>
      <c r="B644" s="340" t="s">
        <v>563</v>
      </c>
      <c r="C644" s="341" t="s">
        <v>1185</v>
      </c>
      <c r="D644" s="342" t="s">
        <v>1189</v>
      </c>
      <c r="E644" s="343">
        <v>13.92</v>
      </c>
      <c r="F644" s="343">
        <v>-6.96</v>
      </c>
      <c r="G644" s="343">
        <v>6.96</v>
      </c>
      <c r="H644" s="344"/>
      <c r="I644" s="354"/>
      <c r="J644" s="355">
        <v>824</v>
      </c>
      <c r="K644" s="356"/>
    </row>
    <row r="645" s="327" customFormat="1" ht="25" customHeight="1" spans="1:11">
      <c r="A645" s="339">
        <v>635</v>
      </c>
      <c r="B645" s="340" t="s">
        <v>563</v>
      </c>
      <c r="C645" s="341" t="s">
        <v>1185</v>
      </c>
      <c r="D645" s="342" t="s">
        <v>1190</v>
      </c>
      <c r="E645" s="343">
        <v>95</v>
      </c>
      <c r="F645" s="343">
        <v>-95</v>
      </c>
      <c r="G645" s="343">
        <v>0</v>
      </c>
      <c r="H645" s="344"/>
      <c r="I645" s="354">
        <v>95</v>
      </c>
      <c r="J645" s="355">
        <v>825</v>
      </c>
      <c r="K645" s="356">
        <v>95</v>
      </c>
    </row>
    <row r="646" s="327" customFormat="1" ht="25" customHeight="1" spans="1:11">
      <c r="A646" s="339">
        <v>636</v>
      </c>
      <c r="B646" s="340" t="s">
        <v>563</v>
      </c>
      <c r="C646" s="341" t="s">
        <v>1185</v>
      </c>
      <c r="D646" s="342" t="s">
        <v>1150</v>
      </c>
      <c r="E646" s="343">
        <v>566.43</v>
      </c>
      <c r="F646" s="343">
        <v>-566.43</v>
      </c>
      <c r="G646" s="343">
        <v>0</v>
      </c>
      <c r="H646" s="344"/>
      <c r="I646" s="354">
        <v>566.43</v>
      </c>
      <c r="J646" s="355">
        <v>827</v>
      </c>
      <c r="K646" s="356"/>
    </row>
    <row r="647" s="327" customFormat="1" ht="25" customHeight="1" spans="1:11">
      <c r="A647" s="339">
        <v>637</v>
      </c>
      <c r="B647" s="340" t="s">
        <v>563</v>
      </c>
      <c r="C647" s="341" t="s">
        <v>1185</v>
      </c>
      <c r="D647" s="342" t="s">
        <v>1191</v>
      </c>
      <c r="E647" s="343">
        <v>103</v>
      </c>
      <c r="F647" s="343">
        <v>-3</v>
      </c>
      <c r="G647" s="343">
        <v>100</v>
      </c>
      <c r="H647" s="344"/>
      <c r="I647" s="354"/>
      <c r="J647" s="355">
        <v>828</v>
      </c>
      <c r="K647" s="356"/>
    </row>
    <row r="648" s="327" customFormat="1" ht="25" customHeight="1" spans="1:11">
      <c r="A648" s="339">
        <v>638</v>
      </c>
      <c r="B648" s="340" t="s">
        <v>563</v>
      </c>
      <c r="C648" s="341" t="s">
        <v>1185</v>
      </c>
      <c r="D648" s="342" t="s">
        <v>1192</v>
      </c>
      <c r="E648" s="343">
        <v>4.98</v>
      </c>
      <c r="F648" s="343">
        <v>-4.98</v>
      </c>
      <c r="G648" s="343">
        <v>0</v>
      </c>
      <c r="H648" s="344"/>
      <c r="I648" s="354"/>
      <c r="J648" s="355">
        <v>829</v>
      </c>
      <c r="K648" s="356"/>
    </row>
    <row r="649" s="327" customFormat="1" ht="25" customHeight="1" spans="1:11">
      <c r="A649" s="339">
        <v>639</v>
      </c>
      <c r="B649" s="340" t="s">
        <v>563</v>
      </c>
      <c r="C649" s="341" t="s">
        <v>1185</v>
      </c>
      <c r="D649" s="342" t="s">
        <v>1193</v>
      </c>
      <c r="E649" s="343">
        <v>97</v>
      </c>
      <c r="F649" s="343">
        <v>-87</v>
      </c>
      <c r="G649" s="343">
        <v>10</v>
      </c>
      <c r="H649" s="344"/>
      <c r="I649" s="354">
        <v>87</v>
      </c>
      <c r="J649" s="355">
        <v>830</v>
      </c>
      <c r="K649" s="356">
        <v>87</v>
      </c>
    </row>
    <row r="650" s="327" customFormat="1" ht="25" customHeight="1" spans="1:11">
      <c r="A650" s="339">
        <v>640</v>
      </c>
      <c r="B650" s="340" t="s">
        <v>563</v>
      </c>
      <c r="C650" s="341" t="s">
        <v>1185</v>
      </c>
      <c r="D650" s="342" t="s">
        <v>1194</v>
      </c>
      <c r="E650" s="343">
        <v>45</v>
      </c>
      <c r="F650" s="343">
        <v>-25</v>
      </c>
      <c r="G650" s="343">
        <v>20</v>
      </c>
      <c r="H650" s="344"/>
      <c r="I650" s="360"/>
      <c r="J650" s="361">
        <v>831</v>
      </c>
      <c r="K650" s="362"/>
    </row>
  </sheetData>
  <autoFilter xmlns:etc="http://www.wps.cn/officeDocument/2017/etCustomData" ref="A5:L650" etc:filterBottomFollowUsedRange="0">
    <extLst/>
  </autoFilter>
  <mergeCells count="18">
    <mergeCell ref="A2:I2"/>
    <mergeCell ref="A6:D6"/>
    <mergeCell ref="A7:D7"/>
    <mergeCell ref="A8:D8"/>
    <mergeCell ref="A9:D9"/>
    <mergeCell ref="A10:D10"/>
    <mergeCell ref="A4:A5"/>
    <mergeCell ref="B4:B5"/>
    <mergeCell ref="C4:C5"/>
    <mergeCell ref="D4:D5"/>
    <mergeCell ref="E4:E5"/>
    <mergeCell ref="F4:F5"/>
    <mergeCell ref="G4:G5"/>
    <mergeCell ref="H4:H5"/>
    <mergeCell ref="I4:I5"/>
    <mergeCell ref="J4:J5"/>
    <mergeCell ref="K4:K5"/>
    <mergeCell ref="K399:K428"/>
  </mergeCells>
  <printOptions horizontalCentered="1"/>
  <pageMargins left="0.786805555555556" right="0.786805555555556" top="0.393055555555556" bottom="0.393055555555556" header="0.196527777777778" footer="0.196527777777778"/>
  <pageSetup paperSize="9" scale="65" fitToHeight="0" orientation="landscape" horizontalDpi="600" vertic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K31"/>
  <sheetViews>
    <sheetView zoomScale="80" zoomScaleNormal="80" workbookViewId="0">
      <pane ySplit="6" topLeftCell="A7" activePane="bottomLeft" state="frozen"/>
      <selection/>
      <selection pane="bottomLeft" activeCell="AJ24" sqref="A2:AK24"/>
    </sheetView>
  </sheetViews>
  <sheetFormatPr defaultColWidth="9" defaultRowHeight="12"/>
  <cols>
    <col min="1" max="1" width="33.875" style="296" customWidth="1"/>
    <col min="2" max="3" width="8.125" style="297" hidden="1" customWidth="1"/>
    <col min="4" max="4" width="8.125" style="298" hidden="1" customWidth="1"/>
    <col min="5" max="10" width="8.125" style="298" customWidth="1"/>
    <col min="11" max="11" width="6.375" style="298" customWidth="1"/>
    <col min="12" max="12" width="5.875" style="298" customWidth="1"/>
    <col min="13" max="13" width="6.125" style="298" customWidth="1"/>
    <col min="14" max="14" width="15" style="298" customWidth="1"/>
    <col min="15" max="15" width="6.75" style="298" customWidth="1"/>
    <col min="16" max="16" width="5.875" style="298" customWidth="1"/>
    <col min="17" max="17" width="6.25" style="298" customWidth="1"/>
    <col min="18" max="18" width="6" style="298" customWidth="1"/>
    <col min="19" max="19" width="5.75" style="298" customWidth="1"/>
    <col min="20" max="20" width="6.25" style="297" customWidth="1"/>
    <col min="21" max="21" width="6.25" style="298" customWidth="1"/>
    <col min="22" max="22" width="7" style="298" customWidth="1"/>
    <col min="23" max="23" width="7.625" style="298" customWidth="1"/>
    <col min="24" max="24" width="6.375" style="298" customWidth="1"/>
    <col min="25" max="25" width="6.75" style="298" customWidth="1"/>
    <col min="26" max="26" width="9.25" style="298" customWidth="1"/>
    <col min="27" max="28" width="6.75" style="298" customWidth="1"/>
    <col min="29" max="30" width="6.25" style="298" customWidth="1"/>
    <col min="31" max="31" width="6.75" style="298" customWidth="1"/>
    <col min="32" max="32" width="7.5" style="298" customWidth="1"/>
    <col min="33" max="33" width="7.75" style="298" customWidth="1"/>
    <col min="34" max="34" width="7.625" style="298" customWidth="1"/>
    <col min="35" max="36" width="7.875" style="298" customWidth="1"/>
    <col min="37" max="37" width="8.25" style="296" hidden="1" customWidth="1"/>
    <col min="38" max="16384" width="9" style="296"/>
  </cols>
  <sheetData>
    <row r="1" s="291" customFormat="1" ht="20" customHeight="1" spans="1:32">
      <c r="A1" s="80" t="s">
        <v>1195</v>
      </c>
      <c r="B1" s="299"/>
      <c r="C1" s="299"/>
      <c r="D1" s="299"/>
      <c r="E1" s="299"/>
      <c r="F1" s="299"/>
      <c r="G1" s="299"/>
      <c r="H1" s="299"/>
      <c r="I1" s="299"/>
      <c r="J1" s="299"/>
      <c r="K1" s="315"/>
      <c r="L1" s="315"/>
      <c r="AF1" s="299"/>
    </row>
    <row r="2" s="292" customFormat="1" ht="30" customHeight="1" spans="1:37">
      <c r="A2" s="148" t="s">
        <v>1196</v>
      </c>
      <c r="B2" s="148"/>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64"/>
      <c r="AG2" s="148"/>
      <c r="AH2" s="148"/>
      <c r="AI2" s="148"/>
      <c r="AJ2" s="148"/>
      <c r="AK2" s="148"/>
    </row>
    <row r="3" ht="20" customHeight="1" spans="35:37">
      <c r="AI3" s="318" t="s">
        <v>5</v>
      </c>
      <c r="AJ3" s="318"/>
      <c r="AK3" s="319" t="s">
        <v>5</v>
      </c>
    </row>
    <row r="4" s="293" customFormat="1" ht="25" customHeight="1" spans="1:37">
      <c r="A4" s="300" t="s">
        <v>1197</v>
      </c>
      <c r="B4" s="301" t="s">
        <v>1198</v>
      </c>
      <c r="C4" s="302"/>
      <c r="D4" s="302"/>
      <c r="E4" s="302"/>
      <c r="F4" s="302"/>
      <c r="G4" s="302"/>
      <c r="H4" s="302"/>
      <c r="I4" s="302"/>
      <c r="J4" s="316"/>
      <c r="K4" s="300" t="s">
        <v>1199</v>
      </c>
      <c r="L4" s="300"/>
      <c r="M4" s="300"/>
      <c r="N4" s="300"/>
      <c r="O4" s="300"/>
      <c r="P4" s="300"/>
      <c r="Q4" s="300"/>
      <c r="R4" s="300"/>
      <c r="S4" s="300"/>
      <c r="T4" s="300"/>
      <c r="U4" s="300"/>
      <c r="V4" s="300"/>
      <c r="W4" s="300"/>
      <c r="X4" s="300"/>
      <c r="Y4" s="300"/>
      <c r="Z4" s="300"/>
      <c r="AA4" s="300"/>
      <c r="AB4" s="300"/>
      <c r="AC4" s="300"/>
      <c r="AD4" s="300"/>
      <c r="AE4" s="300"/>
      <c r="AF4" s="317"/>
      <c r="AG4" s="300"/>
      <c r="AH4" s="300"/>
      <c r="AI4" s="300"/>
      <c r="AJ4" s="300" t="s">
        <v>11</v>
      </c>
      <c r="AK4" s="300" t="s">
        <v>11</v>
      </c>
    </row>
    <row r="5" s="293" customFormat="1" ht="25" customHeight="1" spans="1:37">
      <c r="A5" s="300"/>
      <c r="B5" s="303" t="s">
        <v>1200</v>
      </c>
      <c r="C5" s="303"/>
      <c r="D5" s="303"/>
      <c r="E5" s="304" t="s">
        <v>1201</v>
      </c>
      <c r="F5" s="304"/>
      <c r="G5" s="304"/>
      <c r="H5" s="304" t="s">
        <v>9</v>
      </c>
      <c r="I5" s="304"/>
      <c r="J5" s="304"/>
      <c r="K5" s="300" t="s">
        <v>1202</v>
      </c>
      <c r="L5" s="300"/>
      <c r="M5" s="300"/>
      <c r="N5" s="300"/>
      <c r="O5" s="300"/>
      <c r="P5" s="300"/>
      <c r="Q5" s="300"/>
      <c r="R5" s="300"/>
      <c r="S5" s="300"/>
      <c r="T5" s="300"/>
      <c r="U5" s="300"/>
      <c r="V5" s="300"/>
      <c r="W5" s="300"/>
      <c r="X5" s="300"/>
      <c r="Y5" s="300"/>
      <c r="Z5" s="300"/>
      <c r="AA5" s="300"/>
      <c r="AB5" s="300"/>
      <c r="AC5" s="300"/>
      <c r="AD5" s="300"/>
      <c r="AE5" s="300"/>
      <c r="AF5" s="317"/>
      <c r="AG5" s="320" t="s">
        <v>1203</v>
      </c>
      <c r="AH5" s="320" t="s">
        <v>1204</v>
      </c>
      <c r="AI5" s="300" t="s">
        <v>67</v>
      </c>
      <c r="AJ5" s="300"/>
      <c r="AK5" s="300"/>
    </row>
    <row r="6" s="294" customFormat="1" ht="120" customHeight="1" spans="1:37">
      <c r="A6" s="305"/>
      <c r="B6" s="306" t="s">
        <v>1205</v>
      </c>
      <c r="C6" s="306" t="s">
        <v>1206</v>
      </c>
      <c r="D6" s="306" t="s">
        <v>67</v>
      </c>
      <c r="E6" s="306" t="s">
        <v>1205</v>
      </c>
      <c r="F6" s="306" t="s">
        <v>1206</v>
      </c>
      <c r="G6" s="306" t="s">
        <v>67</v>
      </c>
      <c r="H6" s="306" t="s">
        <v>1205</v>
      </c>
      <c r="I6" s="306" t="s">
        <v>1206</v>
      </c>
      <c r="J6" s="306" t="s">
        <v>67</v>
      </c>
      <c r="K6" s="306" t="s">
        <v>1207</v>
      </c>
      <c r="L6" s="306" t="s">
        <v>1208</v>
      </c>
      <c r="M6" s="306" t="s">
        <v>1209</v>
      </c>
      <c r="N6" s="306" t="s">
        <v>1210</v>
      </c>
      <c r="O6" s="306" t="s">
        <v>1211</v>
      </c>
      <c r="P6" s="306" t="s">
        <v>1212</v>
      </c>
      <c r="Q6" s="306" t="s">
        <v>988</v>
      </c>
      <c r="R6" s="306" t="s">
        <v>279</v>
      </c>
      <c r="S6" s="306" t="s">
        <v>1213</v>
      </c>
      <c r="T6" s="306" t="s">
        <v>1214</v>
      </c>
      <c r="U6" s="306" t="s">
        <v>1215</v>
      </c>
      <c r="V6" s="306" t="s">
        <v>1216</v>
      </c>
      <c r="W6" s="306" t="s">
        <v>1217</v>
      </c>
      <c r="X6" s="306" t="s">
        <v>1218</v>
      </c>
      <c r="Y6" s="306" t="s">
        <v>1219</v>
      </c>
      <c r="Z6" s="306" t="s">
        <v>1220</v>
      </c>
      <c r="AA6" s="306" t="s">
        <v>1221</v>
      </c>
      <c r="AB6" s="306" t="s">
        <v>471</v>
      </c>
      <c r="AC6" s="306" t="s">
        <v>1222</v>
      </c>
      <c r="AD6" s="306" t="s">
        <v>1223</v>
      </c>
      <c r="AE6" s="306" t="s">
        <v>1224</v>
      </c>
      <c r="AF6" s="306" t="s">
        <v>1225</v>
      </c>
      <c r="AG6" s="321"/>
      <c r="AH6" s="321"/>
      <c r="AI6" s="305"/>
      <c r="AJ6" s="305"/>
      <c r="AK6" s="305"/>
    </row>
    <row r="7" s="294" customFormat="1" ht="40" customHeight="1" spans="1:37">
      <c r="A7" s="307" t="s">
        <v>1226</v>
      </c>
      <c r="B7" s="308">
        <v>525</v>
      </c>
      <c r="C7" s="308"/>
      <c r="D7" s="308">
        <f t="shared" ref="D7:D18" si="0">+B7+C7</f>
        <v>525</v>
      </c>
      <c r="E7" s="309">
        <v>525</v>
      </c>
      <c r="F7" s="309"/>
      <c r="G7" s="309">
        <f t="shared" ref="G7:G18" si="1">+E7+F7</f>
        <v>525</v>
      </c>
      <c r="H7" s="309">
        <v>525</v>
      </c>
      <c r="I7" s="309"/>
      <c r="J7" s="309">
        <f t="shared" ref="J7:J23" si="2">+H7+I7</f>
        <v>525</v>
      </c>
      <c r="K7" s="309">
        <v>16.2</v>
      </c>
      <c r="L7" s="309"/>
      <c r="M7" s="309"/>
      <c r="N7" s="309"/>
      <c r="O7" s="309"/>
      <c r="P7" s="309"/>
      <c r="Q7" s="309"/>
      <c r="R7" s="309"/>
      <c r="S7" s="309"/>
      <c r="T7" s="309"/>
      <c r="U7" s="309"/>
      <c r="V7" s="309"/>
      <c r="W7" s="309"/>
      <c r="X7" s="309"/>
      <c r="Y7" s="309"/>
      <c r="Z7" s="309"/>
      <c r="AA7" s="309"/>
      <c r="AB7" s="309"/>
      <c r="AC7" s="309"/>
      <c r="AD7" s="309"/>
      <c r="AE7" s="309"/>
      <c r="AF7" s="309">
        <f t="shared" ref="AF7:AF14" si="3">SUM(K7:AE7)</f>
        <v>16.2</v>
      </c>
      <c r="AG7" s="309">
        <f t="shared" ref="AG7:AG12" si="4">+AI7-AF7</f>
        <v>508.8</v>
      </c>
      <c r="AH7" s="309"/>
      <c r="AI7" s="309">
        <v>525</v>
      </c>
      <c r="AJ7" s="322"/>
      <c r="AK7" s="323" t="s">
        <v>1227</v>
      </c>
    </row>
    <row r="8" s="294" customFormat="1" ht="40" customHeight="1" spans="1:37">
      <c r="A8" s="307" t="s">
        <v>1228</v>
      </c>
      <c r="B8" s="308">
        <v>2564</v>
      </c>
      <c r="C8" s="308"/>
      <c r="D8" s="308">
        <f t="shared" si="0"/>
        <v>2564</v>
      </c>
      <c r="E8" s="309">
        <v>2564</v>
      </c>
      <c r="F8" s="309"/>
      <c r="G8" s="309">
        <f t="shared" si="1"/>
        <v>2564</v>
      </c>
      <c r="H8" s="309">
        <v>2564</v>
      </c>
      <c r="I8" s="309"/>
      <c r="J8" s="309">
        <f t="shared" si="2"/>
        <v>2564</v>
      </c>
      <c r="K8" s="309"/>
      <c r="L8" s="309">
        <f>20-6</f>
        <v>14</v>
      </c>
      <c r="M8" s="309"/>
      <c r="N8" s="309"/>
      <c r="O8" s="309"/>
      <c r="P8" s="309"/>
      <c r="Q8" s="309"/>
      <c r="R8" s="309"/>
      <c r="S8" s="309"/>
      <c r="T8" s="309"/>
      <c r="U8" s="309"/>
      <c r="V8" s="309"/>
      <c r="W8" s="309">
        <f>1905-790</f>
        <v>1115</v>
      </c>
      <c r="X8" s="309"/>
      <c r="Y8" s="309"/>
      <c r="Z8" s="309"/>
      <c r="AA8" s="309"/>
      <c r="AB8" s="309"/>
      <c r="AC8" s="309"/>
      <c r="AD8" s="309"/>
      <c r="AE8" s="309"/>
      <c r="AF8" s="309">
        <f t="shared" si="3"/>
        <v>1129</v>
      </c>
      <c r="AG8" s="309">
        <f t="shared" si="4"/>
        <v>1435</v>
      </c>
      <c r="AH8" s="309"/>
      <c r="AI8" s="309">
        <v>2564</v>
      </c>
      <c r="AJ8" s="322"/>
      <c r="AK8" s="323" t="s">
        <v>1227</v>
      </c>
    </row>
    <row r="9" s="294" customFormat="1" ht="40" customHeight="1" spans="1:37">
      <c r="A9" s="307" t="s">
        <v>1229</v>
      </c>
      <c r="B9" s="308">
        <v>1222</v>
      </c>
      <c r="C9" s="308"/>
      <c r="D9" s="308">
        <f t="shared" si="0"/>
        <v>1222</v>
      </c>
      <c r="E9" s="309">
        <v>1222</v>
      </c>
      <c r="F9" s="309"/>
      <c r="G9" s="309">
        <f t="shared" si="1"/>
        <v>1222</v>
      </c>
      <c r="H9" s="309">
        <v>1222</v>
      </c>
      <c r="I9" s="309"/>
      <c r="J9" s="309">
        <f t="shared" si="2"/>
        <v>1222</v>
      </c>
      <c r="K9" s="309"/>
      <c r="L9" s="309"/>
      <c r="M9" s="309"/>
      <c r="N9" s="309"/>
      <c r="O9" s="309"/>
      <c r="P9" s="309"/>
      <c r="Q9" s="309">
        <f>58.7-29.35</f>
        <v>29.35</v>
      </c>
      <c r="R9" s="309"/>
      <c r="S9" s="309">
        <f>101-25</f>
        <v>76</v>
      </c>
      <c r="T9" s="309"/>
      <c r="U9" s="309"/>
      <c r="V9" s="309"/>
      <c r="W9" s="309"/>
      <c r="X9" s="309"/>
      <c r="Y9" s="309"/>
      <c r="Z9" s="309"/>
      <c r="AA9" s="309"/>
      <c r="AB9" s="309"/>
      <c r="AC9" s="309"/>
      <c r="AD9" s="309"/>
      <c r="AE9" s="309"/>
      <c r="AF9" s="309">
        <f t="shared" si="3"/>
        <v>105.35</v>
      </c>
      <c r="AG9" s="309"/>
      <c r="AH9" s="309">
        <f>+AI9-AF9</f>
        <v>1116.65</v>
      </c>
      <c r="AI9" s="309">
        <v>1222</v>
      </c>
      <c r="AJ9" s="322"/>
      <c r="AK9" s="323" t="s">
        <v>1227</v>
      </c>
    </row>
    <row r="10" s="294" customFormat="1" ht="40" customHeight="1" spans="1:37">
      <c r="A10" s="307" t="s">
        <v>1230</v>
      </c>
      <c r="B10" s="308"/>
      <c r="C10" s="308"/>
      <c r="D10" s="308">
        <f t="shared" si="0"/>
        <v>0</v>
      </c>
      <c r="E10" s="309"/>
      <c r="F10" s="309">
        <v>1200</v>
      </c>
      <c r="G10" s="309">
        <f t="shared" si="1"/>
        <v>1200</v>
      </c>
      <c r="H10" s="309"/>
      <c r="I10" s="309">
        <f>1200+800</f>
        <v>2000</v>
      </c>
      <c r="J10" s="309">
        <f t="shared" si="2"/>
        <v>2000</v>
      </c>
      <c r="K10" s="309">
        <f>1063.8-500</f>
        <v>563.8</v>
      </c>
      <c r="L10" s="309"/>
      <c r="M10" s="309"/>
      <c r="N10" s="309"/>
      <c r="O10" s="309"/>
      <c r="P10" s="309"/>
      <c r="Q10" s="309"/>
      <c r="R10" s="309"/>
      <c r="S10" s="309"/>
      <c r="T10" s="309"/>
      <c r="U10" s="309"/>
      <c r="V10" s="309"/>
      <c r="W10" s="309"/>
      <c r="X10" s="309"/>
      <c r="Y10" s="309"/>
      <c r="Z10" s="309"/>
      <c r="AA10" s="309">
        <v>12</v>
      </c>
      <c r="AB10" s="309"/>
      <c r="AC10" s="309"/>
      <c r="AD10" s="309"/>
      <c r="AE10" s="309"/>
      <c r="AF10" s="309">
        <f t="shared" si="3"/>
        <v>575.8</v>
      </c>
      <c r="AG10" s="309">
        <f t="shared" si="4"/>
        <v>1424.2</v>
      </c>
      <c r="AH10" s="309"/>
      <c r="AI10" s="309">
        <v>2000</v>
      </c>
      <c r="AJ10" s="322"/>
      <c r="AK10" s="323" t="s">
        <v>1227</v>
      </c>
    </row>
    <row r="11" s="294" customFormat="1" ht="40" customHeight="1" spans="1:37">
      <c r="A11" s="307" t="s">
        <v>1231</v>
      </c>
      <c r="B11" s="308"/>
      <c r="C11" s="308">
        <v>25</v>
      </c>
      <c r="D11" s="308">
        <f t="shared" si="0"/>
        <v>25</v>
      </c>
      <c r="E11" s="309">
        <v>1353</v>
      </c>
      <c r="F11" s="309">
        <v>726.56</v>
      </c>
      <c r="G11" s="309">
        <f t="shared" si="1"/>
        <v>2079.56</v>
      </c>
      <c r="H11" s="309">
        <v>1353</v>
      </c>
      <c r="I11" s="309">
        <v>726.56</v>
      </c>
      <c r="J11" s="309">
        <f t="shared" si="2"/>
        <v>2079.56</v>
      </c>
      <c r="K11" s="309"/>
      <c r="L11" s="309"/>
      <c r="M11" s="309"/>
      <c r="N11" s="309"/>
      <c r="O11" s="309"/>
      <c r="P11" s="309"/>
      <c r="Q11" s="309"/>
      <c r="R11" s="309"/>
      <c r="S11" s="309"/>
      <c r="T11" s="309"/>
      <c r="U11" s="309"/>
      <c r="V11" s="309"/>
      <c r="W11" s="309"/>
      <c r="X11" s="309"/>
      <c r="Y11" s="309"/>
      <c r="Z11" s="309"/>
      <c r="AA11" s="309"/>
      <c r="AB11" s="309"/>
      <c r="AC11" s="309"/>
      <c r="AD11" s="309"/>
      <c r="AE11" s="309"/>
      <c r="AF11" s="309">
        <f t="shared" si="3"/>
        <v>0</v>
      </c>
      <c r="AG11" s="309">
        <f t="shared" si="4"/>
        <v>2079.56</v>
      </c>
      <c r="AH11" s="309"/>
      <c r="AI11" s="309">
        <v>2079.56</v>
      </c>
      <c r="AJ11" s="322"/>
      <c r="AK11" s="323" t="s">
        <v>1227</v>
      </c>
    </row>
    <row r="12" s="294" customFormat="1" ht="40" customHeight="1" spans="1:37">
      <c r="A12" s="307" t="s">
        <v>1232</v>
      </c>
      <c r="B12" s="308"/>
      <c r="C12" s="308">
        <v>50</v>
      </c>
      <c r="D12" s="308">
        <f t="shared" si="0"/>
        <v>50</v>
      </c>
      <c r="E12" s="309"/>
      <c r="F12" s="309">
        <v>50</v>
      </c>
      <c r="G12" s="309">
        <f t="shared" si="1"/>
        <v>50</v>
      </c>
      <c r="H12" s="309"/>
      <c r="I12" s="309">
        <v>50</v>
      </c>
      <c r="J12" s="309">
        <f t="shared" si="2"/>
        <v>50</v>
      </c>
      <c r="K12" s="309"/>
      <c r="L12" s="309"/>
      <c r="M12" s="309"/>
      <c r="N12" s="309"/>
      <c r="O12" s="309"/>
      <c r="P12" s="309"/>
      <c r="Q12" s="309"/>
      <c r="R12" s="309">
        <f>8-6</f>
        <v>2</v>
      </c>
      <c r="S12" s="309"/>
      <c r="T12" s="309"/>
      <c r="U12" s="309"/>
      <c r="V12" s="309"/>
      <c r="W12" s="309"/>
      <c r="X12" s="309"/>
      <c r="Y12" s="309"/>
      <c r="Z12" s="309"/>
      <c r="AA12" s="309"/>
      <c r="AB12" s="309"/>
      <c r="AC12" s="309"/>
      <c r="AD12" s="309"/>
      <c r="AE12" s="309"/>
      <c r="AF12" s="309">
        <f t="shared" si="3"/>
        <v>2</v>
      </c>
      <c r="AG12" s="309">
        <f t="shared" si="4"/>
        <v>48</v>
      </c>
      <c r="AH12" s="309"/>
      <c r="AI12" s="309">
        <v>50</v>
      </c>
      <c r="AJ12" s="322"/>
      <c r="AK12" s="323" t="s">
        <v>1227</v>
      </c>
    </row>
    <row r="13" s="294" customFormat="1" ht="40" customHeight="1" spans="1:37">
      <c r="A13" s="307" t="s">
        <v>1233</v>
      </c>
      <c r="B13" s="308"/>
      <c r="C13" s="308"/>
      <c r="D13" s="308">
        <f t="shared" si="0"/>
        <v>0</v>
      </c>
      <c r="E13" s="309">
        <v>180</v>
      </c>
      <c r="F13" s="309">
        <v>895</v>
      </c>
      <c r="G13" s="309">
        <f t="shared" si="1"/>
        <v>1075</v>
      </c>
      <c r="H13" s="309">
        <v>180</v>
      </c>
      <c r="I13" s="309">
        <v>895</v>
      </c>
      <c r="J13" s="309">
        <f t="shared" si="2"/>
        <v>1075</v>
      </c>
      <c r="K13" s="309"/>
      <c r="L13" s="309"/>
      <c r="M13" s="309"/>
      <c r="N13" s="309"/>
      <c r="O13" s="309"/>
      <c r="P13" s="309"/>
      <c r="Q13" s="309"/>
      <c r="R13" s="309"/>
      <c r="S13" s="309"/>
      <c r="T13" s="309"/>
      <c r="U13" s="309"/>
      <c r="V13" s="309"/>
      <c r="W13" s="309"/>
      <c r="X13" s="309"/>
      <c r="Y13" s="309"/>
      <c r="Z13" s="309"/>
      <c r="AA13" s="309"/>
      <c r="AB13" s="309"/>
      <c r="AC13" s="309"/>
      <c r="AD13" s="309"/>
      <c r="AE13" s="309"/>
      <c r="AF13" s="309">
        <f t="shared" si="3"/>
        <v>0</v>
      </c>
      <c r="AG13" s="309"/>
      <c r="AH13" s="309">
        <v>1075</v>
      </c>
      <c r="AI13" s="309">
        <v>1075</v>
      </c>
      <c r="AJ13" s="322"/>
      <c r="AK13" s="323" t="s">
        <v>1227</v>
      </c>
    </row>
    <row r="14" s="294" customFormat="1" ht="40" customHeight="1" spans="1:37">
      <c r="A14" s="307" t="s">
        <v>1234</v>
      </c>
      <c r="B14" s="308">
        <v>831</v>
      </c>
      <c r="C14" s="308"/>
      <c r="D14" s="308">
        <f t="shared" si="0"/>
        <v>831</v>
      </c>
      <c r="E14" s="309">
        <v>831</v>
      </c>
      <c r="F14" s="309"/>
      <c r="G14" s="309">
        <f t="shared" si="1"/>
        <v>831</v>
      </c>
      <c r="H14" s="309">
        <v>831</v>
      </c>
      <c r="I14" s="309"/>
      <c r="J14" s="309">
        <f t="shared" si="2"/>
        <v>831</v>
      </c>
      <c r="K14" s="309"/>
      <c r="L14" s="309"/>
      <c r="M14" s="309"/>
      <c r="N14" s="309"/>
      <c r="O14" s="309"/>
      <c r="P14" s="309"/>
      <c r="Q14" s="309"/>
      <c r="R14" s="309"/>
      <c r="S14" s="309"/>
      <c r="T14" s="309">
        <v>831</v>
      </c>
      <c r="U14" s="309"/>
      <c r="V14" s="309"/>
      <c r="W14" s="309"/>
      <c r="X14" s="309"/>
      <c r="Y14" s="309"/>
      <c r="Z14" s="309"/>
      <c r="AA14" s="309"/>
      <c r="AB14" s="309"/>
      <c r="AC14" s="309"/>
      <c r="AD14" s="309"/>
      <c r="AE14" s="309"/>
      <c r="AF14" s="309">
        <f t="shared" si="3"/>
        <v>831</v>
      </c>
      <c r="AG14" s="309"/>
      <c r="AH14" s="309"/>
      <c r="AI14" s="309">
        <v>831</v>
      </c>
      <c r="AJ14" s="322"/>
      <c r="AK14" s="323" t="s">
        <v>1227</v>
      </c>
    </row>
    <row r="15" s="294" customFormat="1" ht="40" customHeight="1" spans="1:37">
      <c r="A15" s="307" t="s">
        <v>1235</v>
      </c>
      <c r="B15" s="308"/>
      <c r="C15" s="308"/>
      <c r="D15" s="308">
        <f t="shared" si="0"/>
        <v>0</v>
      </c>
      <c r="E15" s="309"/>
      <c r="F15" s="309">
        <v>100</v>
      </c>
      <c r="G15" s="309">
        <f t="shared" si="1"/>
        <v>100</v>
      </c>
      <c r="H15" s="309"/>
      <c r="I15" s="309">
        <v>117.41</v>
      </c>
      <c r="J15" s="309">
        <f t="shared" si="2"/>
        <v>117.41</v>
      </c>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f t="shared" ref="AG15:AG18" si="5">+AI15-AF15</f>
        <v>117.41</v>
      </c>
      <c r="AH15" s="309"/>
      <c r="AI15" s="309">
        <v>117.41</v>
      </c>
      <c r="AJ15" s="322"/>
      <c r="AK15" s="323" t="s">
        <v>1227</v>
      </c>
    </row>
    <row r="16" s="294" customFormat="1" ht="40" customHeight="1" spans="1:37">
      <c r="A16" s="307" t="s">
        <v>1236</v>
      </c>
      <c r="B16" s="308">
        <v>1156</v>
      </c>
      <c r="C16" s="308"/>
      <c r="D16" s="308">
        <f t="shared" si="0"/>
        <v>1156</v>
      </c>
      <c r="E16" s="309">
        <v>1156</v>
      </c>
      <c r="F16" s="309"/>
      <c r="G16" s="309">
        <f t="shared" si="1"/>
        <v>1156</v>
      </c>
      <c r="H16" s="309">
        <v>1156</v>
      </c>
      <c r="I16" s="309"/>
      <c r="J16" s="309">
        <f t="shared" si="2"/>
        <v>1156</v>
      </c>
      <c r="K16" s="309"/>
      <c r="L16" s="309"/>
      <c r="M16" s="309"/>
      <c r="N16" s="309"/>
      <c r="O16" s="309"/>
      <c r="P16" s="309"/>
      <c r="Q16" s="309"/>
      <c r="R16" s="309"/>
      <c r="S16" s="309"/>
      <c r="T16" s="309"/>
      <c r="U16" s="309">
        <f>57.45-31</f>
        <v>26.45</v>
      </c>
      <c r="V16" s="309"/>
      <c r="W16" s="309"/>
      <c r="X16" s="309"/>
      <c r="Y16" s="309"/>
      <c r="Z16" s="309"/>
      <c r="AA16" s="309"/>
      <c r="AB16" s="309"/>
      <c r="AC16" s="309"/>
      <c r="AD16" s="309"/>
      <c r="AE16" s="309"/>
      <c r="AF16" s="309">
        <f t="shared" ref="AF16:AF24" si="6">SUM(K16:AE16)</f>
        <v>26.45</v>
      </c>
      <c r="AG16" s="309">
        <f t="shared" si="5"/>
        <v>1129.55</v>
      </c>
      <c r="AH16" s="309"/>
      <c r="AI16" s="309">
        <v>1156</v>
      </c>
      <c r="AJ16" s="322"/>
      <c r="AK16" s="323" t="s">
        <v>1227</v>
      </c>
    </row>
    <row r="17" s="294" customFormat="1" ht="40" customHeight="1" spans="1:37">
      <c r="A17" s="307" t="s">
        <v>1237</v>
      </c>
      <c r="B17" s="308"/>
      <c r="C17" s="308">
        <v>2991</v>
      </c>
      <c r="D17" s="308">
        <f t="shared" si="0"/>
        <v>2991</v>
      </c>
      <c r="E17" s="309"/>
      <c r="F17" s="309">
        <v>2991</v>
      </c>
      <c r="G17" s="309">
        <f t="shared" si="1"/>
        <v>2991</v>
      </c>
      <c r="H17" s="309"/>
      <c r="I17" s="309">
        <v>2991</v>
      </c>
      <c r="J17" s="309">
        <f t="shared" si="2"/>
        <v>2991</v>
      </c>
      <c r="K17" s="309"/>
      <c r="L17" s="309"/>
      <c r="M17" s="309">
        <f>982.45-184</f>
        <v>798.45</v>
      </c>
      <c r="N17" s="309"/>
      <c r="O17" s="309"/>
      <c r="P17" s="309"/>
      <c r="Q17" s="309"/>
      <c r="R17" s="309"/>
      <c r="S17" s="309"/>
      <c r="T17" s="309"/>
      <c r="U17" s="309"/>
      <c r="V17" s="309"/>
      <c r="W17" s="309"/>
      <c r="X17" s="309"/>
      <c r="Y17" s="309"/>
      <c r="Z17" s="309">
        <v>27</v>
      </c>
      <c r="AA17" s="309"/>
      <c r="AB17" s="309"/>
      <c r="AC17" s="309"/>
      <c r="AD17" s="309"/>
      <c r="AE17" s="309"/>
      <c r="AF17" s="309">
        <f t="shared" si="6"/>
        <v>825.45</v>
      </c>
      <c r="AG17" s="309">
        <f t="shared" si="5"/>
        <v>2165.55</v>
      </c>
      <c r="AH17" s="309"/>
      <c r="AI17" s="309">
        <v>2991</v>
      </c>
      <c r="AJ17" s="322"/>
      <c r="AK17" s="323" t="s">
        <v>1227</v>
      </c>
    </row>
    <row r="18" s="294" customFormat="1" ht="40" customHeight="1" spans="1:37">
      <c r="A18" s="307" t="s">
        <v>1238</v>
      </c>
      <c r="B18" s="308">
        <v>1996</v>
      </c>
      <c r="C18" s="308"/>
      <c r="D18" s="308">
        <f t="shared" si="0"/>
        <v>1996</v>
      </c>
      <c r="E18" s="309">
        <v>1996</v>
      </c>
      <c r="F18" s="309"/>
      <c r="G18" s="309">
        <f t="shared" si="1"/>
        <v>1996</v>
      </c>
      <c r="H18" s="309">
        <v>1996</v>
      </c>
      <c r="I18" s="309"/>
      <c r="J18" s="309">
        <f t="shared" si="2"/>
        <v>1996</v>
      </c>
      <c r="K18" s="309"/>
      <c r="L18" s="309"/>
      <c r="M18" s="309"/>
      <c r="N18" s="309"/>
      <c r="O18" s="309"/>
      <c r="P18" s="309"/>
      <c r="Q18" s="309"/>
      <c r="R18" s="309"/>
      <c r="S18" s="309"/>
      <c r="T18" s="309"/>
      <c r="U18" s="309"/>
      <c r="V18" s="309"/>
      <c r="W18" s="309"/>
      <c r="X18" s="309"/>
      <c r="Y18" s="309"/>
      <c r="Z18" s="309"/>
      <c r="AA18" s="309"/>
      <c r="AB18" s="309"/>
      <c r="AC18" s="309"/>
      <c r="AD18" s="309"/>
      <c r="AE18" s="309"/>
      <c r="AF18" s="309">
        <f t="shared" si="6"/>
        <v>0</v>
      </c>
      <c r="AG18" s="309">
        <f t="shared" si="5"/>
        <v>1996</v>
      </c>
      <c r="AH18" s="309"/>
      <c r="AI18" s="309">
        <v>1996</v>
      </c>
      <c r="AJ18" s="322"/>
      <c r="AK18" s="323" t="s">
        <v>1227</v>
      </c>
    </row>
    <row r="19" s="294" customFormat="1" ht="40" customHeight="1" spans="1:37">
      <c r="A19" s="307" t="s">
        <v>299</v>
      </c>
      <c r="B19" s="308"/>
      <c r="C19" s="308"/>
      <c r="D19" s="308"/>
      <c r="E19" s="309"/>
      <c r="F19" s="309"/>
      <c r="G19" s="309"/>
      <c r="H19" s="309"/>
      <c r="I19" s="309">
        <v>7000</v>
      </c>
      <c r="J19" s="309">
        <f t="shared" si="2"/>
        <v>7000</v>
      </c>
      <c r="K19" s="309"/>
      <c r="L19" s="309"/>
      <c r="M19" s="309"/>
      <c r="N19" s="309"/>
      <c r="O19" s="309"/>
      <c r="P19" s="309"/>
      <c r="Q19" s="309"/>
      <c r="R19" s="309"/>
      <c r="S19" s="309"/>
      <c r="T19" s="309"/>
      <c r="U19" s="309"/>
      <c r="V19" s="309"/>
      <c r="W19" s="309"/>
      <c r="X19" s="309"/>
      <c r="Y19" s="309"/>
      <c r="Z19" s="309"/>
      <c r="AA19" s="309"/>
      <c r="AB19" s="309"/>
      <c r="AC19" s="309"/>
      <c r="AD19" s="309"/>
      <c r="AE19" s="309"/>
      <c r="AF19" s="309">
        <f t="shared" si="6"/>
        <v>0</v>
      </c>
      <c r="AG19" s="309">
        <v>7000</v>
      </c>
      <c r="AH19" s="309"/>
      <c r="AI19" s="309">
        <v>7000</v>
      </c>
      <c r="AJ19" s="322"/>
      <c r="AK19" s="323"/>
    </row>
    <row r="20" s="294" customFormat="1" ht="40" customHeight="1" spans="1:37">
      <c r="A20" s="307" t="s">
        <v>1239</v>
      </c>
      <c r="B20" s="308">
        <v>500</v>
      </c>
      <c r="C20" s="308">
        <v>760</v>
      </c>
      <c r="D20" s="308">
        <f t="shared" ref="D20:D23" si="7">+B20+C20</f>
        <v>1260</v>
      </c>
      <c r="E20" s="309">
        <v>500</v>
      </c>
      <c r="F20" s="309">
        <v>760</v>
      </c>
      <c r="G20" s="309">
        <f t="shared" ref="G20:G23" si="8">+E20+F20</f>
        <v>1260</v>
      </c>
      <c r="H20" s="309">
        <v>500</v>
      </c>
      <c r="I20" s="309">
        <v>760</v>
      </c>
      <c r="J20" s="309">
        <f t="shared" si="2"/>
        <v>1260</v>
      </c>
      <c r="K20" s="309"/>
      <c r="L20" s="309"/>
      <c r="M20" s="309"/>
      <c r="N20" s="309"/>
      <c r="O20" s="309"/>
      <c r="P20" s="309"/>
      <c r="Q20" s="309"/>
      <c r="R20" s="309"/>
      <c r="S20" s="309"/>
      <c r="T20" s="309"/>
      <c r="U20" s="309"/>
      <c r="V20" s="309"/>
      <c r="W20" s="309"/>
      <c r="X20" s="309">
        <f>34-2</f>
        <v>32</v>
      </c>
      <c r="Y20" s="309">
        <f>388-311</f>
        <v>77</v>
      </c>
      <c r="Z20" s="309"/>
      <c r="AA20" s="309">
        <f>130.81-86</f>
        <v>44.81</v>
      </c>
      <c r="AB20" s="309"/>
      <c r="AC20" s="309"/>
      <c r="AD20" s="309"/>
      <c r="AE20" s="309"/>
      <c r="AF20" s="309">
        <f t="shared" si="6"/>
        <v>153.81</v>
      </c>
      <c r="AG20" s="309"/>
      <c r="AH20" s="309">
        <f>+AI20-AF20</f>
        <v>1106.19</v>
      </c>
      <c r="AI20" s="309">
        <v>1260</v>
      </c>
      <c r="AJ20" s="322"/>
      <c r="AK20" s="323" t="s">
        <v>1227</v>
      </c>
    </row>
    <row r="21" s="294" customFormat="1" ht="40" customHeight="1" spans="1:37">
      <c r="A21" s="307" t="s">
        <v>1240</v>
      </c>
      <c r="B21" s="308"/>
      <c r="C21" s="308">
        <f>7797-3100+34</f>
        <v>4731</v>
      </c>
      <c r="D21" s="308">
        <f t="shared" si="7"/>
        <v>4731</v>
      </c>
      <c r="E21" s="309"/>
      <c r="F21" s="309">
        <v>7797</v>
      </c>
      <c r="G21" s="309">
        <f t="shared" si="8"/>
        <v>7797</v>
      </c>
      <c r="H21" s="309"/>
      <c r="I21" s="309">
        <v>7797</v>
      </c>
      <c r="J21" s="309">
        <f t="shared" si="2"/>
        <v>7797</v>
      </c>
      <c r="K21" s="309"/>
      <c r="L21" s="309"/>
      <c r="M21" s="309">
        <v>981.55</v>
      </c>
      <c r="N21" s="309"/>
      <c r="O21" s="309">
        <f>275.18-268</f>
        <v>7.18000000000001</v>
      </c>
      <c r="P21" s="309"/>
      <c r="Q21" s="309"/>
      <c r="R21" s="309"/>
      <c r="S21" s="309"/>
      <c r="T21" s="309"/>
      <c r="U21" s="309"/>
      <c r="V21" s="309"/>
      <c r="W21" s="309"/>
      <c r="X21" s="309"/>
      <c r="Y21" s="309"/>
      <c r="Z21" s="309"/>
      <c r="AA21" s="309"/>
      <c r="AB21" s="309">
        <v>434</v>
      </c>
      <c r="AC21" s="309">
        <f>56.4-11</f>
        <v>45.4</v>
      </c>
      <c r="AD21" s="309"/>
      <c r="AE21" s="309">
        <v>154</v>
      </c>
      <c r="AF21" s="309">
        <f t="shared" si="6"/>
        <v>1622.13</v>
      </c>
      <c r="AG21" s="309">
        <f>+AI21-AH21-AF21</f>
        <v>5174.87</v>
      </c>
      <c r="AH21" s="309">
        <v>1000</v>
      </c>
      <c r="AI21" s="309">
        <v>7797</v>
      </c>
      <c r="AJ21" s="322"/>
      <c r="AK21" s="323" t="s">
        <v>1241</v>
      </c>
    </row>
    <row r="22" s="294" customFormat="1" ht="40" customHeight="1" spans="1:37">
      <c r="A22" s="307" t="s">
        <v>1242</v>
      </c>
      <c r="B22" s="308">
        <v>3457</v>
      </c>
      <c r="C22" s="308"/>
      <c r="D22" s="308">
        <f t="shared" si="7"/>
        <v>3457</v>
      </c>
      <c r="E22" s="309">
        <v>4159</v>
      </c>
      <c r="F22" s="309"/>
      <c r="G22" s="309">
        <f t="shared" si="8"/>
        <v>4159</v>
      </c>
      <c r="H22" s="309">
        <v>4159</v>
      </c>
      <c r="I22" s="309"/>
      <c r="J22" s="309">
        <f t="shared" si="2"/>
        <v>4159</v>
      </c>
      <c r="K22" s="309"/>
      <c r="L22" s="309"/>
      <c r="M22" s="309"/>
      <c r="N22" s="309"/>
      <c r="O22" s="309"/>
      <c r="P22" s="309"/>
      <c r="Q22" s="309"/>
      <c r="R22" s="309"/>
      <c r="S22" s="309"/>
      <c r="T22" s="309"/>
      <c r="U22" s="309"/>
      <c r="V22" s="309"/>
      <c r="W22" s="309"/>
      <c r="X22" s="309"/>
      <c r="Y22" s="309"/>
      <c r="Z22" s="309"/>
      <c r="AA22" s="309"/>
      <c r="AB22" s="309"/>
      <c r="AC22" s="309"/>
      <c r="AD22" s="309"/>
      <c r="AE22" s="309"/>
      <c r="AF22" s="309">
        <f t="shared" si="6"/>
        <v>0</v>
      </c>
      <c r="AG22" s="309">
        <f>+AI22-AF22</f>
        <v>4159</v>
      </c>
      <c r="AH22" s="309"/>
      <c r="AI22" s="309">
        <v>4159</v>
      </c>
      <c r="AJ22" s="322"/>
      <c r="AK22" s="323" t="s">
        <v>1241</v>
      </c>
    </row>
    <row r="23" s="294" customFormat="1" ht="40" customHeight="1" spans="1:37">
      <c r="A23" s="307" t="s">
        <v>1243</v>
      </c>
      <c r="B23" s="308">
        <v>8529</v>
      </c>
      <c r="C23" s="308"/>
      <c r="D23" s="308">
        <f t="shared" si="7"/>
        <v>8529</v>
      </c>
      <c r="E23" s="309">
        <v>8529</v>
      </c>
      <c r="F23" s="309">
        <v>1639</v>
      </c>
      <c r="G23" s="309">
        <f t="shared" si="8"/>
        <v>10168</v>
      </c>
      <c r="H23" s="309">
        <v>8529</v>
      </c>
      <c r="I23" s="309">
        <v>1639</v>
      </c>
      <c r="J23" s="309">
        <f t="shared" si="2"/>
        <v>10168</v>
      </c>
      <c r="K23" s="309">
        <f>500-202</f>
        <v>298</v>
      </c>
      <c r="L23" s="309"/>
      <c r="M23" s="309">
        <v>45</v>
      </c>
      <c r="N23" s="309">
        <f>396.98-91</f>
        <v>305.98</v>
      </c>
      <c r="O23" s="309"/>
      <c r="P23" s="309">
        <f>354.9-218</f>
        <v>136.9</v>
      </c>
      <c r="Q23" s="309"/>
      <c r="R23" s="309"/>
      <c r="S23" s="309"/>
      <c r="T23" s="309">
        <f>202.7+8</f>
        <v>210.7</v>
      </c>
      <c r="U23" s="309"/>
      <c r="V23" s="309">
        <f>4024-776</f>
        <v>3248</v>
      </c>
      <c r="W23" s="309"/>
      <c r="X23" s="309"/>
      <c r="Y23" s="309"/>
      <c r="Z23" s="309">
        <f>434-389</f>
        <v>45</v>
      </c>
      <c r="AA23" s="309">
        <v>12</v>
      </c>
      <c r="AB23" s="309"/>
      <c r="AC23" s="309"/>
      <c r="AD23" s="309">
        <v>80</v>
      </c>
      <c r="AE23" s="309">
        <f>754.67-311</f>
        <v>443.67</v>
      </c>
      <c r="AF23" s="309">
        <f t="shared" si="6"/>
        <v>4825.25</v>
      </c>
      <c r="AG23" s="309">
        <f>+AI23-AF23</f>
        <v>5342.75</v>
      </c>
      <c r="AH23" s="309"/>
      <c r="AI23" s="309">
        <v>10168</v>
      </c>
      <c r="AJ23" s="322"/>
      <c r="AK23" s="323" t="s">
        <v>1241</v>
      </c>
    </row>
    <row r="24" s="294" customFormat="1" ht="40" customHeight="1" spans="1:37">
      <c r="A24" s="304" t="s">
        <v>67</v>
      </c>
      <c r="B24" s="303">
        <f t="shared" ref="B24:F24" si="9">SUM(B7:B23)</f>
        <v>20780</v>
      </c>
      <c r="C24" s="303">
        <f t="shared" si="9"/>
        <v>8557</v>
      </c>
      <c r="D24" s="310">
        <f>B24+C24</f>
        <v>29337</v>
      </c>
      <c r="E24" s="311">
        <f t="shared" si="9"/>
        <v>23015</v>
      </c>
      <c r="F24" s="311">
        <f t="shared" si="9"/>
        <v>16158.56</v>
      </c>
      <c r="G24" s="311">
        <f>E24+F24</f>
        <v>39173.56</v>
      </c>
      <c r="H24" s="311">
        <f t="shared" ref="H24:AE24" si="10">SUM(H7:H23)</f>
        <v>23015</v>
      </c>
      <c r="I24" s="311">
        <f t="shared" si="10"/>
        <v>23975.97</v>
      </c>
      <c r="J24" s="311">
        <f>H24+I24</f>
        <v>46990.97</v>
      </c>
      <c r="K24" s="311">
        <f t="shared" si="10"/>
        <v>878</v>
      </c>
      <c r="L24" s="311">
        <f t="shared" si="10"/>
        <v>14</v>
      </c>
      <c r="M24" s="311">
        <f t="shared" si="10"/>
        <v>1825</v>
      </c>
      <c r="N24" s="311">
        <f t="shared" si="10"/>
        <v>305.98</v>
      </c>
      <c r="O24" s="311">
        <f t="shared" si="10"/>
        <v>7.18000000000001</v>
      </c>
      <c r="P24" s="311">
        <f t="shared" si="10"/>
        <v>136.9</v>
      </c>
      <c r="Q24" s="311">
        <f t="shared" si="10"/>
        <v>29.35</v>
      </c>
      <c r="R24" s="311">
        <f t="shared" si="10"/>
        <v>2</v>
      </c>
      <c r="S24" s="311">
        <f t="shared" si="10"/>
        <v>76</v>
      </c>
      <c r="T24" s="311">
        <f t="shared" si="10"/>
        <v>1041.7</v>
      </c>
      <c r="U24" s="311">
        <f t="shared" si="10"/>
        <v>26.45</v>
      </c>
      <c r="V24" s="311">
        <f t="shared" si="10"/>
        <v>3248</v>
      </c>
      <c r="W24" s="311">
        <f t="shared" si="10"/>
        <v>1115</v>
      </c>
      <c r="X24" s="311">
        <f t="shared" si="10"/>
        <v>32</v>
      </c>
      <c r="Y24" s="311">
        <f t="shared" si="10"/>
        <v>77</v>
      </c>
      <c r="Z24" s="311">
        <f t="shared" si="10"/>
        <v>72</v>
      </c>
      <c r="AA24" s="311">
        <f t="shared" si="10"/>
        <v>68.81</v>
      </c>
      <c r="AB24" s="311">
        <f t="shared" si="10"/>
        <v>434</v>
      </c>
      <c r="AC24" s="311">
        <f t="shared" si="10"/>
        <v>45.4</v>
      </c>
      <c r="AD24" s="311">
        <f t="shared" si="10"/>
        <v>80</v>
      </c>
      <c r="AE24" s="311">
        <f t="shared" si="10"/>
        <v>597.67</v>
      </c>
      <c r="AF24" s="311">
        <f t="shared" si="6"/>
        <v>10112.44</v>
      </c>
      <c r="AG24" s="311">
        <f t="shared" ref="AG24:AI24" si="11">SUM(AG7:AG23)</f>
        <v>32580.69</v>
      </c>
      <c r="AH24" s="311">
        <f t="shared" si="11"/>
        <v>4297.84</v>
      </c>
      <c r="AI24" s="311">
        <f t="shared" si="11"/>
        <v>46990.97</v>
      </c>
      <c r="AJ24" s="324"/>
      <c r="AK24" s="325">
        <f>SUM(AK7:AK23)</f>
        <v>0</v>
      </c>
    </row>
    <row r="25" s="295" customFormat="1" ht="40" customHeight="1" spans="1:36">
      <c r="A25" s="295" t="s">
        <v>1244</v>
      </c>
      <c r="B25" s="312"/>
      <c r="C25" s="312"/>
      <c r="D25" s="313"/>
      <c r="E25" s="313"/>
      <c r="F25" s="313"/>
      <c r="G25" s="313"/>
      <c r="H25" s="313"/>
      <c r="I25" s="313"/>
      <c r="J25" s="313"/>
      <c r="K25" s="313"/>
      <c r="L25" s="313"/>
      <c r="M25" s="313"/>
      <c r="N25" s="313"/>
      <c r="O25" s="313"/>
      <c r="P25" s="313"/>
      <c r="Q25" s="313"/>
      <c r="R25" s="313"/>
      <c r="S25" s="313"/>
      <c r="T25" s="312"/>
      <c r="U25" s="313"/>
      <c r="V25" s="313"/>
      <c r="W25" s="313"/>
      <c r="X25" s="313"/>
      <c r="Y25" s="313"/>
      <c r="Z25" s="313"/>
      <c r="AA25" s="313"/>
      <c r="AB25" s="313"/>
      <c r="AC25" s="313"/>
      <c r="AD25" s="313"/>
      <c r="AE25" s="313"/>
      <c r="AF25" s="313"/>
      <c r="AG25" s="313"/>
      <c r="AH25" s="313"/>
      <c r="AI25" s="313"/>
      <c r="AJ25" s="313"/>
    </row>
    <row r="26" ht="23.1" customHeight="1" spans="1:1">
      <c r="A26" s="314"/>
    </row>
    <row r="27" ht="23.1" customHeight="1" spans="20:20">
      <c r="T27" s="298"/>
    </row>
    <row r="29" ht="18.95" customHeight="1"/>
    <row r="30" ht="18.95" customHeight="1"/>
    <row r="31" ht="18.95" customHeight="1"/>
  </sheetData>
  <mergeCells count="14">
    <mergeCell ref="A2:AK2"/>
    <mergeCell ref="AI3:AJ3"/>
    <mergeCell ref="B4:J4"/>
    <mergeCell ref="K4:AI4"/>
    <mergeCell ref="B5:D5"/>
    <mergeCell ref="E5:G5"/>
    <mergeCell ref="H5:J5"/>
    <mergeCell ref="K5:AF5"/>
    <mergeCell ref="A4:A6"/>
    <mergeCell ref="AG5:AG6"/>
    <mergeCell ref="AH5:AH6"/>
    <mergeCell ref="AI5:AI6"/>
    <mergeCell ref="AJ4:AJ6"/>
    <mergeCell ref="AK4:AK6"/>
  </mergeCells>
  <printOptions horizontalCentered="1"/>
  <pageMargins left="0.393055555555556" right="0.393055555555556" top="0.393055555555556" bottom="0.393055555555556" header="0.196527777777778" footer="0.196527777777778"/>
  <pageSetup paperSize="9" scale="48"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view="pageBreakPreview" zoomScaleNormal="100" topLeftCell="A12" workbookViewId="0">
      <selection activeCell="A18" sqref="A18"/>
    </sheetView>
  </sheetViews>
  <sheetFormatPr defaultColWidth="9" defaultRowHeight="14.25"/>
  <cols>
    <col min="1" max="1" width="40.625" style="101" customWidth="1"/>
    <col min="2" max="7" width="12.625" style="276" customWidth="1"/>
    <col min="8" max="9" width="10.625" style="276" customWidth="1"/>
    <col min="10" max="10" width="25.625" style="101" customWidth="1"/>
    <col min="11" max="11" width="10.5" style="101" customWidth="1"/>
    <col min="12" max="16384" width="9" style="101"/>
  </cols>
  <sheetData>
    <row r="1" s="77" customFormat="1" ht="20" customHeight="1" spans="1:10">
      <c r="A1" s="30" t="s">
        <v>1245</v>
      </c>
      <c r="B1" s="277"/>
      <c r="C1" s="278"/>
      <c r="D1" s="277"/>
      <c r="E1" s="279"/>
      <c r="F1" s="277"/>
      <c r="G1" s="277"/>
      <c r="H1" s="277"/>
      <c r="I1" s="277"/>
      <c r="J1" s="3"/>
    </row>
    <row r="2" s="189" customFormat="1" ht="30" customHeight="1" spans="1:11">
      <c r="A2" s="280" t="s">
        <v>1246</v>
      </c>
      <c r="B2" s="281"/>
      <c r="C2" s="281"/>
      <c r="D2" s="281"/>
      <c r="E2" s="282"/>
      <c r="F2" s="281"/>
      <c r="G2" s="281"/>
      <c r="H2" s="281"/>
      <c r="I2" s="281"/>
      <c r="J2" s="280"/>
      <c r="K2" s="101"/>
    </row>
    <row r="3" s="188" customFormat="1" ht="20" customHeight="1" spans="1:10">
      <c r="A3" s="283"/>
      <c r="B3" s="192"/>
      <c r="C3" s="193"/>
      <c r="D3" s="192"/>
      <c r="E3" s="194"/>
      <c r="F3" s="192"/>
      <c r="G3" s="192"/>
      <c r="H3" s="192"/>
      <c r="I3" s="192"/>
      <c r="J3" s="289" t="s">
        <v>5</v>
      </c>
    </row>
    <row r="4" s="55" customFormat="1" ht="30" customHeight="1" spans="1:10">
      <c r="A4" s="13" t="s">
        <v>1197</v>
      </c>
      <c r="B4" s="284" t="s">
        <v>7</v>
      </c>
      <c r="C4" s="284"/>
      <c r="D4" s="285" t="s">
        <v>8</v>
      </c>
      <c r="E4" s="285"/>
      <c r="F4" s="285" t="s">
        <v>9</v>
      </c>
      <c r="G4" s="285"/>
      <c r="H4" s="285" t="s">
        <v>1247</v>
      </c>
      <c r="I4" s="285"/>
      <c r="J4" s="13" t="s">
        <v>11</v>
      </c>
    </row>
    <row r="5" s="55" customFormat="1" ht="30" customHeight="1" spans="1:10">
      <c r="A5" s="13"/>
      <c r="B5" s="285" t="s">
        <v>12</v>
      </c>
      <c r="C5" s="286" t="s">
        <v>13</v>
      </c>
      <c r="D5" s="285" t="s">
        <v>12</v>
      </c>
      <c r="E5" s="286" t="s">
        <v>13</v>
      </c>
      <c r="F5" s="285" t="s">
        <v>12</v>
      </c>
      <c r="G5" s="286" t="s">
        <v>13</v>
      </c>
      <c r="H5" s="285" t="s">
        <v>12</v>
      </c>
      <c r="I5" s="286" t="s">
        <v>13</v>
      </c>
      <c r="J5" s="13"/>
    </row>
    <row r="6" s="275" customFormat="1" ht="30" customHeight="1" spans="1:10">
      <c r="A6" s="287" t="s">
        <v>1248</v>
      </c>
      <c r="B6" s="288">
        <v>250109</v>
      </c>
      <c r="C6" s="288">
        <v>250109</v>
      </c>
      <c r="D6" s="288">
        <f>SUM(D7:D15)</f>
        <v>-168471</v>
      </c>
      <c r="E6" s="288">
        <f t="shared" ref="D6:G6" si="0">SUM(E7:E15)</f>
        <v>-168471</v>
      </c>
      <c r="F6" s="288">
        <f t="shared" si="0"/>
        <v>81638</v>
      </c>
      <c r="G6" s="288">
        <f t="shared" si="0"/>
        <v>81638</v>
      </c>
      <c r="H6" s="141">
        <f t="shared" ref="H6:H22" si="1">IF(B6=0,IF(F6=0,0,100),100*(F6/B6-1))</f>
        <v>-67.3590314622824</v>
      </c>
      <c r="I6" s="141">
        <f t="shared" ref="I6:I22" si="2">IF(C6=0,IF(G6=0,0,100),100*(G6/C6-1))</f>
        <v>-67.3590314622824</v>
      </c>
      <c r="J6" s="13"/>
    </row>
    <row r="7" s="101" customFormat="1" ht="30" customHeight="1" spans="1:10">
      <c r="A7" s="122" t="s">
        <v>1249</v>
      </c>
      <c r="B7" s="123">
        <v>11692</v>
      </c>
      <c r="C7" s="123">
        <v>11692</v>
      </c>
      <c r="D7" s="119">
        <f t="shared" ref="D7:D15" si="3">+F7-B7</f>
        <v>-9010</v>
      </c>
      <c r="E7" s="119">
        <f t="shared" ref="E7:E15" si="4">+G7-C7</f>
        <v>-9010</v>
      </c>
      <c r="F7" s="119">
        <v>2682</v>
      </c>
      <c r="G7" s="119">
        <v>2682</v>
      </c>
      <c r="H7" s="120">
        <f t="shared" si="1"/>
        <v>-77.0612384536435</v>
      </c>
      <c r="I7" s="120">
        <f t="shared" si="2"/>
        <v>-77.0612384536435</v>
      </c>
      <c r="J7" s="117"/>
    </row>
    <row r="8" s="101" customFormat="1" ht="30" customHeight="1" spans="1:10">
      <c r="A8" s="122" t="s">
        <v>1250</v>
      </c>
      <c r="B8" s="123">
        <v>707</v>
      </c>
      <c r="C8" s="123">
        <v>707</v>
      </c>
      <c r="D8" s="119">
        <f t="shared" si="3"/>
        <v>-357</v>
      </c>
      <c r="E8" s="119">
        <f t="shared" si="4"/>
        <v>-357</v>
      </c>
      <c r="F8" s="119">
        <v>350</v>
      </c>
      <c r="G8" s="119">
        <v>350</v>
      </c>
      <c r="H8" s="120">
        <f t="shared" ref="H8:H15" si="5">IF(B8=0,IF(F8=0,0,100),100*(F8/B8-1))</f>
        <v>-50.4950495049505</v>
      </c>
      <c r="I8" s="120">
        <f t="shared" ref="I8:I15" si="6">IF(C8=0,IF(G8=0,0,100),100*(G8/C8-1))</f>
        <v>-50.4950495049505</v>
      </c>
      <c r="J8" s="290"/>
    </row>
    <row r="9" s="101" customFormat="1" ht="30" customHeight="1" spans="1:10">
      <c r="A9" s="122" t="s">
        <v>1251</v>
      </c>
      <c r="B9" s="123">
        <v>221116</v>
      </c>
      <c r="C9" s="123">
        <v>221116</v>
      </c>
      <c r="D9" s="119">
        <f t="shared" si="3"/>
        <v>-170501</v>
      </c>
      <c r="E9" s="119">
        <f t="shared" si="4"/>
        <v>-170501</v>
      </c>
      <c r="F9" s="119">
        <v>50615</v>
      </c>
      <c r="G9" s="119">
        <v>50615</v>
      </c>
      <c r="H9" s="120">
        <f t="shared" si="5"/>
        <v>-77.1093000958773</v>
      </c>
      <c r="I9" s="120">
        <f t="shared" si="6"/>
        <v>-77.1093000958773</v>
      </c>
      <c r="J9" s="117"/>
    </row>
    <row r="10" s="101" customFormat="1" ht="30" customHeight="1" spans="1:10">
      <c r="A10" s="122" t="s">
        <v>1252</v>
      </c>
      <c r="B10" s="123">
        <v>0</v>
      </c>
      <c r="C10" s="123">
        <v>0</v>
      </c>
      <c r="D10" s="119">
        <f t="shared" si="3"/>
        <v>0</v>
      </c>
      <c r="E10" s="119">
        <f t="shared" si="4"/>
        <v>0</v>
      </c>
      <c r="F10" s="119">
        <v>0</v>
      </c>
      <c r="G10" s="119">
        <v>0</v>
      </c>
      <c r="H10" s="120">
        <f t="shared" si="5"/>
        <v>0</v>
      </c>
      <c r="I10" s="120">
        <f t="shared" si="6"/>
        <v>0</v>
      </c>
      <c r="J10" s="117"/>
    </row>
    <row r="11" s="101" customFormat="1" ht="30" customHeight="1" spans="1:10">
      <c r="A11" s="122" t="s">
        <v>1253</v>
      </c>
      <c r="B11" s="123">
        <v>11000</v>
      </c>
      <c r="C11" s="123">
        <v>11000</v>
      </c>
      <c r="D11" s="119">
        <f t="shared" si="3"/>
        <v>9051</v>
      </c>
      <c r="E11" s="119">
        <f t="shared" si="4"/>
        <v>9051</v>
      </c>
      <c r="F11" s="119">
        <v>20051</v>
      </c>
      <c r="G11" s="119">
        <v>20051</v>
      </c>
      <c r="H11" s="120">
        <f t="shared" si="5"/>
        <v>82.2818181818182</v>
      </c>
      <c r="I11" s="120">
        <f t="shared" si="6"/>
        <v>82.2818181818182</v>
      </c>
      <c r="J11" s="117"/>
    </row>
    <row r="12" s="101" customFormat="1" ht="30" customHeight="1" spans="1:10">
      <c r="A12" s="122" t="s">
        <v>1254</v>
      </c>
      <c r="B12" s="123">
        <v>3000</v>
      </c>
      <c r="C12" s="123">
        <v>3000</v>
      </c>
      <c r="D12" s="119">
        <f t="shared" si="3"/>
        <v>2000</v>
      </c>
      <c r="E12" s="119">
        <f t="shared" si="4"/>
        <v>2000</v>
      </c>
      <c r="F12" s="119">
        <v>5000</v>
      </c>
      <c r="G12" s="119">
        <v>5000</v>
      </c>
      <c r="H12" s="120">
        <f t="shared" si="5"/>
        <v>66.6666666666667</v>
      </c>
      <c r="I12" s="120">
        <f t="shared" si="6"/>
        <v>66.6666666666667</v>
      </c>
      <c r="J12" s="117"/>
    </row>
    <row r="13" s="101" customFormat="1" ht="30" customHeight="1" spans="1:10">
      <c r="A13" s="122" t="s">
        <v>1255</v>
      </c>
      <c r="B13" s="123">
        <v>-5666</v>
      </c>
      <c r="C13" s="123">
        <v>-5666</v>
      </c>
      <c r="D13" s="119">
        <f t="shared" si="3"/>
        <v>1666</v>
      </c>
      <c r="E13" s="119">
        <f t="shared" si="4"/>
        <v>1666</v>
      </c>
      <c r="F13" s="119">
        <v>-4000</v>
      </c>
      <c r="G13" s="119">
        <v>-4000</v>
      </c>
      <c r="H13" s="120">
        <f t="shared" si="5"/>
        <v>-29.4034592304977</v>
      </c>
      <c r="I13" s="120">
        <f t="shared" si="6"/>
        <v>-29.4034592304977</v>
      </c>
      <c r="J13" s="122"/>
    </row>
    <row r="14" s="101" customFormat="1" ht="30" customHeight="1" spans="1:10">
      <c r="A14" s="122" t="s">
        <v>1256</v>
      </c>
      <c r="B14" s="123">
        <v>60</v>
      </c>
      <c r="C14" s="123">
        <v>60</v>
      </c>
      <c r="D14" s="119">
        <f t="shared" si="3"/>
        <v>-20</v>
      </c>
      <c r="E14" s="119">
        <f t="shared" si="4"/>
        <v>-20</v>
      </c>
      <c r="F14" s="119">
        <v>40</v>
      </c>
      <c r="G14" s="119">
        <v>40</v>
      </c>
      <c r="H14" s="120">
        <f t="shared" si="5"/>
        <v>-33.3333333333333</v>
      </c>
      <c r="I14" s="120">
        <f t="shared" si="6"/>
        <v>-33.3333333333333</v>
      </c>
      <c r="J14" s="117"/>
    </row>
    <row r="15" s="101" customFormat="1" ht="30" customHeight="1" spans="1:10">
      <c r="A15" s="122" t="s">
        <v>1257</v>
      </c>
      <c r="B15" s="123">
        <v>8200</v>
      </c>
      <c r="C15" s="123">
        <v>8200</v>
      </c>
      <c r="D15" s="119">
        <f t="shared" si="3"/>
        <v>-1300</v>
      </c>
      <c r="E15" s="119">
        <f t="shared" si="4"/>
        <v>-1300</v>
      </c>
      <c r="F15" s="119">
        <v>6900</v>
      </c>
      <c r="G15" s="119">
        <v>6900</v>
      </c>
      <c r="H15" s="120">
        <f t="shared" si="5"/>
        <v>-15.8536585365854</v>
      </c>
      <c r="I15" s="120">
        <f t="shared" si="6"/>
        <v>-15.8536585365854</v>
      </c>
      <c r="J15" s="117"/>
    </row>
    <row r="16" s="128" customFormat="1" ht="30" customHeight="1" spans="1:10">
      <c r="A16" s="12" t="s">
        <v>48</v>
      </c>
      <c r="B16" s="115">
        <v>250109</v>
      </c>
      <c r="C16" s="115">
        <v>250109</v>
      </c>
      <c r="D16" s="115">
        <f t="shared" ref="D16:G16" si="7">SUM(D7:D15)</f>
        <v>-168471</v>
      </c>
      <c r="E16" s="115">
        <f t="shared" si="7"/>
        <v>-168471</v>
      </c>
      <c r="F16" s="115">
        <f t="shared" si="7"/>
        <v>81638</v>
      </c>
      <c r="G16" s="115">
        <f t="shared" si="7"/>
        <v>81638</v>
      </c>
      <c r="H16" s="141">
        <f t="shared" si="1"/>
        <v>-67.3590314622824</v>
      </c>
      <c r="I16" s="141">
        <f t="shared" si="2"/>
        <v>-67.3590314622824</v>
      </c>
      <c r="J16" s="113"/>
    </row>
    <row r="17" s="128" customFormat="1" ht="30" customHeight="1" spans="1:10">
      <c r="A17" s="124" t="s">
        <v>1258</v>
      </c>
      <c r="B17" s="115">
        <f t="shared" ref="B17:G17" si="8">SUM(B18:B21)</f>
        <v>207450.43</v>
      </c>
      <c r="C17" s="115">
        <f t="shared" si="8"/>
        <v>207450.43</v>
      </c>
      <c r="D17" s="115">
        <f>D18+D19+D20+D21</f>
        <v>2886.57</v>
      </c>
      <c r="E17" s="115">
        <f>E18+E19+E20+E21</f>
        <v>2886.57</v>
      </c>
      <c r="F17" s="115">
        <f t="shared" si="8"/>
        <v>210337</v>
      </c>
      <c r="G17" s="115">
        <f t="shared" si="8"/>
        <v>210337</v>
      </c>
      <c r="H17" s="141">
        <f t="shared" si="1"/>
        <v>1.39145047807325</v>
      </c>
      <c r="I17" s="141">
        <f t="shared" si="2"/>
        <v>1.39145047807325</v>
      </c>
      <c r="J17" s="113"/>
    </row>
    <row r="18" s="101" customFormat="1" ht="30" customHeight="1" spans="1:10">
      <c r="A18" s="122" t="s">
        <v>1259</v>
      </c>
      <c r="B18" s="119">
        <v>16042.43</v>
      </c>
      <c r="C18" s="119">
        <v>16042.43</v>
      </c>
      <c r="D18" s="119">
        <f>+F18-B18</f>
        <v>2886.57</v>
      </c>
      <c r="E18" s="119">
        <f>+G18-C18</f>
        <v>2886.57</v>
      </c>
      <c r="F18" s="119">
        <v>18929</v>
      </c>
      <c r="G18" s="119">
        <v>18929</v>
      </c>
      <c r="H18" s="120">
        <f t="shared" si="1"/>
        <v>17.99334639453</v>
      </c>
      <c r="I18" s="120">
        <f t="shared" si="2"/>
        <v>17.99334639453</v>
      </c>
      <c r="J18" s="117"/>
    </row>
    <row r="19" s="101" customFormat="1" ht="30" customHeight="1" spans="1:10">
      <c r="A19" s="122" t="s">
        <v>1260</v>
      </c>
      <c r="B19" s="119">
        <v>8308</v>
      </c>
      <c r="C19" s="119">
        <v>8308</v>
      </c>
      <c r="D19" s="119">
        <f>+F19-B19</f>
        <v>0</v>
      </c>
      <c r="E19" s="119">
        <f>+G19-C19</f>
        <v>0</v>
      </c>
      <c r="F19" s="119">
        <v>8308</v>
      </c>
      <c r="G19" s="119">
        <v>8308</v>
      </c>
      <c r="H19" s="120">
        <f t="shared" si="1"/>
        <v>0</v>
      </c>
      <c r="I19" s="120">
        <f t="shared" si="2"/>
        <v>0</v>
      </c>
      <c r="J19" s="117"/>
    </row>
    <row r="20" s="101" customFormat="1" ht="30" customHeight="1" spans="1:10">
      <c r="A20" s="122" t="s">
        <v>1261</v>
      </c>
      <c r="B20" s="119">
        <v>170000</v>
      </c>
      <c r="C20" s="119">
        <v>170000</v>
      </c>
      <c r="D20" s="119">
        <f>+F20-B20</f>
        <v>0</v>
      </c>
      <c r="E20" s="119">
        <f>+G20-C20</f>
        <v>0</v>
      </c>
      <c r="F20" s="119">
        <v>170000</v>
      </c>
      <c r="G20" s="119">
        <v>170000</v>
      </c>
      <c r="H20" s="120">
        <f t="shared" si="1"/>
        <v>0</v>
      </c>
      <c r="I20" s="120">
        <f t="shared" si="2"/>
        <v>0</v>
      </c>
      <c r="J20" s="117"/>
    </row>
    <row r="21" s="101" customFormat="1" ht="30" customHeight="1" spans="1:10">
      <c r="A21" s="122" t="s">
        <v>1262</v>
      </c>
      <c r="B21" s="119">
        <v>13100</v>
      </c>
      <c r="C21" s="119">
        <v>13100</v>
      </c>
      <c r="D21" s="119">
        <f>+F21-B21</f>
        <v>0</v>
      </c>
      <c r="E21" s="119">
        <f>+G21-C21</f>
        <v>0</v>
      </c>
      <c r="F21" s="119">
        <v>13100</v>
      </c>
      <c r="G21" s="119">
        <v>13100</v>
      </c>
      <c r="H21" s="120">
        <f t="shared" si="1"/>
        <v>0</v>
      </c>
      <c r="I21" s="120">
        <f t="shared" si="2"/>
        <v>0</v>
      </c>
      <c r="J21" s="117"/>
    </row>
    <row r="22" s="128" customFormat="1" ht="30" customHeight="1" spans="1:10">
      <c r="A22" s="12" t="s">
        <v>59</v>
      </c>
      <c r="B22" s="115">
        <f t="shared" ref="B22:G22" si="9">B16+B17</f>
        <v>457559.43</v>
      </c>
      <c r="C22" s="115">
        <f t="shared" si="9"/>
        <v>457559.43</v>
      </c>
      <c r="D22" s="115">
        <f t="shared" si="9"/>
        <v>-165584.43</v>
      </c>
      <c r="E22" s="115">
        <f t="shared" si="9"/>
        <v>-165584.43</v>
      </c>
      <c r="F22" s="115">
        <f t="shared" si="9"/>
        <v>291975</v>
      </c>
      <c r="G22" s="115">
        <f t="shared" si="9"/>
        <v>291975</v>
      </c>
      <c r="H22" s="115">
        <f t="shared" si="1"/>
        <v>-36.1886170721036</v>
      </c>
      <c r="I22" s="115">
        <f t="shared" si="2"/>
        <v>-36.1886170721036</v>
      </c>
      <c r="J22" s="113"/>
    </row>
  </sheetData>
  <mergeCells count="7">
    <mergeCell ref="A2:J2"/>
    <mergeCell ref="B4:C4"/>
    <mergeCell ref="D4:E4"/>
    <mergeCell ref="F4:G4"/>
    <mergeCell ref="H4:I4"/>
    <mergeCell ref="A4:A5"/>
    <mergeCell ref="J4:J5"/>
  </mergeCells>
  <printOptions horizontalCentered="1"/>
  <pageMargins left="0.786805555555556" right="0.786805555555556" top="0.393055555555556" bottom="0.393055555555556" header="0.196527777777778" footer="0.196527777777778"/>
  <pageSetup paperSize="9" scale="74"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topLeftCell="A24" workbookViewId="0">
      <selection activeCell="F3" sqref="F3"/>
    </sheetView>
  </sheetViews>
  <sheetFormatPr defaultColWidth="9" defaultRowHeight="13.5"/>
  <cols>
    <col min="1" max="1" width="8.625" style="79" customWidth="1"/>
    <col min="2" max="2" width="20.625" style="79" customWidth="1"/>
    <col min="3" max="3" width="20.625" style="214" customWidth="1"/>
    <col min="4" max="4" width="30.625" style="215" customWidth="1"/>
    <col min="5" max="5" width="15.625" style="216" customWidth="1"/>
    <col min="6" max="6" width="15.625" style="217" customWidth="1"/>
    <col min="7" max="8" width="15.625" style="218" customWidth="1"/>
    <col min="9" max="9" width="25.625" style="219" customWidth="1"/>
    <col min="10" max="10" width="10.625" style="214" customWidth="1"/>
    <col min="11" max="16384" width="9" style="220"/>
  </cols>
  <sheetData>
    <row r="1" ht="20" customHeight="1" spans="1:1">
      <c r="A1" s="79" t="s">
        <v>1263</v>
      </c>
    </row>
    <row r="2" ht="30" customHeight="1" spans="1:10">
      <c r="A2" s="83" t="s">
        <v>1264</v>
      </c>
      <c r="B2" s="83"/>
      <c r="C2" s="83"/>
      <c r="D2" s="83"/>
      <c r="E2" s="221"/>
      <c r="F2" s="222"/>
      <c r="G2" s="222"/>
      <c r="H2" s="222"/>
      <c r="I2" s="83"/>
      <c r="J2" s="83"/>
    </row>
    <row r="3" ht="20" customHeight="1" spans="9:10">
      <c r="I3" s="261" t="s">
        <v>5</v>
      </c>
      <c r="J3" s="261"/>
    </row>
    <row r="4" s="212" customFormat="1" ht="40" customHeight="1" spans="1:10">
      <c r="A4" s="223" t="s">
        <v>503</v>
      </c>
      <c r="B4" s="223" t="s">
        <v>1265</v>
      </c>
      <c r="C4" s="223" t="s">
        <v>1266</v>
      </c>
      <c r="D4" s="223" t="s">
        <v>1267</v>
      </c>
      <c r="E4" s="224" t="s">
        <v>1268</v>
      </c>
      <c r="F4" s="225" t="s">
        <v>507</v>
      </c>
      <c r="G4" s="225" t="s">
        <v>9</v>
      </c>
      <c r="H4" s="225" t="s">
        <v>1269</v>
      </c>
      <c r="I4" s="223" t="s">
        <v>11</v>
      </c>
      <c r="J4" s="262" t="s">
        <v>1270</v>
      </c>
    </row>
    <row r="5" s="212" customFormat="1" ht="40" customHeight="1" spans="1:10">
      <c r="A5" s="226">
        <v>1</v>
      </c>
      <c r="B5" s="226" t="s">
        <v>1271</v>
      </c>
      <c r="C5" s="227" t="s">
        <v>1272</v>
      </c>
      <c r="D5" s="228" t="s">
        <v>1273</v>
      </c>
      <c r="E5" s="229">
        <v>12.758</v>
      </c>
      <c r="F5" s="230">
        <v>2904</v>
      </c>
      <c r="G5" s="231">
        <v>2904</v>
      </c>
      <c r="H5" s="231">
        <f t="shared" ref="H5:H9" si="0">G5-F5</f>
        <v>0</v>
      </c>
      <c r="I5" s="263" t="s">
        <v>1274</v>
      </c>
      <c r="J5" s="263" t="s">
        <v>1275</v>
      </c>
    </row>
    <row r="6" s="212" customFormat="1" ht="40" customHeight="1" spans="1:10">
      <c r="A6" s="226">
        <v>2</v>
      </c>
      <c r="B6" s="226" t="s">
        <v>1271</v>
      </c>
      <c r="C6" s="227" t="s">
        <v>1272</v>
      </c>
      <c r="D6" s="232" t="s">
        <v>1276</v>
      </c>
      <c r="E6" s="229">
        <v>39.19</v>
      </c>
      <c r="F6" s="233">
        <v>20130</v>
      </c>
      <c r="G6" s="231">
        <v>20330</v>
      </c>
      <c r="H6" s="231">
        <f t="shared" si="0"/>
        <v>200</v>
      </c>
      <c r="I6" s="263" t="s">
        <v>1277</v>
      </c>
      <c r="J6" s="263" t="s">
        <v>1275</v>
      </c>
    </row>
    <row r="7" s="212" customFormat="1" ht="40" customHeight="1" spans="1:10">
      <c r="A7" s="226">
        <v>3</v>
      </c>
      <c r="B7" s="226" t="s">
        <v>1271</v>
      </c>
      <c r="C7" s="227" t="s">
        <v>1272</v>
      </c>
      <c r="D7" s="228" t="s">
        <v>1278</v>
      </c>
      <c r="E7" s="229">
        <f>121306.111/666.667</f>
        <v>181.959075520462</v>
      </c>
      <c r="F7" s="233">
        <v>47305</v>
      </c>
      <c r="G7" s="231">
        <v>0</v>
      </c>
      <c r="H7" s="231">
        <f t="shared" si="0"/>
        <v>-47305</v>
      </c>
      <c r="I7" s="263"/>
      <c r="J7" s="263" t="s">
        <v>1275</v>
      </c>
    </row>
    <row r="8" s="212" customFormat="1" ht="40" customHeight="1" spans="1:10">
      <c r="A8" s="226">
        <v>4</v>
      </c>
      <c r="B8" s="226" t="s">
        <v>1271</v>
      </c>
      <c r="C8" s="227" t="s">
        <v>1272</v>
      </c>
      <c r="D8" s="232" t="s">
        <v>1279</v>
      </c>
      <c r="E8" s="229">
        <v>138.79</v>
      </c>
      <c r="F8" s="233">
        <v>41851</v>
      </c>
      <c r="G8" s="231">
        <v>0</v>
      </c>
      <c r="H8" s="231">
        <f t="shared" si="0"/>
        <v>-41851</v>
      </c>
      <c r="I8" s="263"/>
      <c r="J8" s="263" t="s">
        <v>1275</v>
      </c>
    </row>
    <row r="9" s="212" customFormat="1" ht="40" customHeight="1" spans="1:10">
      <c r="A9" s="226">
        <v>5</v>
      </c>
      <c r="B9" s="226" t="s">
        <v>1271</v>
      </c>
      <c r="C9" s="227" t="s">
        <v>1272</v>
      </c>
      <c r="D9" s="232" t="s">
        <v>1280</v>
      </c>
      <c r="E9" s="229">
        <v>96.76</v>
      </c>
      <c r="F9" s="233">
        <v>27661</v>
      </c>
      <c r="G9" s="231">
        <v>0</v>
      </c>
      <c r="H9" s="231">
        <f t="shared" si="0"/>
        <v>-27661</v>
      </c>
      <c r="I9" s="263"/>
      <c r="J9" s="263" t="s">
        <v>1275</v>
      </c>
    </row>
    <row r="10" s="213" customFormat="1" ht="40" customHeight="1" spans="1:10">
      <c r="A10" s="234" t="s">
        <v>1281</v>
      </c>
      <c r="B10" s="235"/>
      <c r="C10" s="235"/>
      <c r="D10" s="235"/>
      <c r="E10" s="236">
        <f>SUM(E5:E7)</f>
        <v>233.907075520462</v>
      </c>
      <c r="F10" s="237">
        <f t="shared" ref="F10:H10" si="1">SUM(F5:F9)</f>
        <v>139851</v>
      </c>
      <c r="G10" s="237">
        <f t="shared" si="1"/>
        <v>23234</v>
      </c>
      <c r="H10" s="237">
        <f t="shared" si="1"/>
        <v>-116617</v>
      </c>
      <c r="I10" s="264"/>
      <c r="J10" s="265" t="s">
        <v>1275</v>
      </c>
    </row>
    <row r="11" ht="40" customHeight="1" spans="1:10">
      <c r="A11" s="238">
        <f t="shared" ref="A11:A21" si="2">ROW()-5</f>
        <v>6</v>
      </c>
      <c r="B11" s="239" t="s">
        <v>1282</v>
      </c>
      <c r="C11" s="240" t="s">
        <v>1272</v>
      </c>
      <c r="D11" s="240" t="s">
        <v>1283</v>
      </c>
      <c r="E11" s="241">
        <v>78.79</v>
      </c>
      <c r="F11" s="242">
        <v>17225</v>
      </c>
      <c r="G11" s="243">
        <v>14343</v>
      </c>
      <c r="H11" s="231">
        <f t="shared" ref="H11:H27" si="3">G11-F11</f>
        <v>-2882</v>
      </c>
      <c r="I11" s="263" t="s">
        <v>1284</v>
      </c>
      <c r="J11" s="240" t="s">
        <v>1275</v>
      </c>
    </row>
    <row r="12" ht="40" customHeight="1" spans="1:10">
      <c r="A12" s="238">
        <f t="shared" si="2"/>
        <v>7</v>
      </c>
      <c r="B12" s="239" t="s">
        <v>1282</v>
      </c>
      <c r="C12" s="240" t="s">
        <v>1272</v>
      </c>
      <c r="D12" s="240" t="s">
        <v>1285</v>
      </c>
      <c r="E12" s="241">
        <v>299</v>
      </c>
      <c r="F12" s="233">
        <v>57100</v>
      </c>
      <c r="G12" s="243">
        <v>0</v>
      </c>
      <c r="H12" s="231">
        <f t="shared" si="3"/>
        <v>-57100</v>
      </c>
      <c r="I12" s="240"/>
      <c r="J12" s="240" t="s">
        <v>1275</v>
      </c>
    </row>
    <row r="13" ht="40" customHeight="1" spans="1:10">
      <c r="A13" s="238">
        <f t="shared" si="2"/>
        <v>8</v>
      </c>
      <c r="B13" s="239" t="s">
        <v>1282</v>
      </c>
      <c r="C13" s="240" t="s">
        <v>1286</v>
      </c>
      <c r="D13" s="240" t="s">
        <v>1287</v>
      </c>
      <c r="E13" s="241">
        <v>60</v>
      </c>
      <c r="F13" s="242">
        <v>3620</v>
      </c>
      <c r="G13" s="231">
        <v>3620</v>
      </c>
      <c r="H13" s="231">
        <f t="shared" si="3"/>
        <v>0</v>
      </c>
      <c r="I13" s="263" t="s">
        <v>1274</v>
      </c>
      <c r="J13" s="240" t="s">
        <v>1275</v>
      </c>
    </row>
    <row r="14" ht="40" customHeight="1" spans="1:10">
      <c r="A14" s="238">
        <f t="shared" si="2"/>
        <v>9</v>
      </c>
      <c r="B14" s="239" t="s">
        <v>1282</v>
      </c>
      <c r="C14" s="240" t="s">
        <v>1286</v>
      </c>
      <c r="D14" s="240" t="s">
        <v>1288</v>
      </c>
      <c r="E14" s="241">
        <v>9.24</v>
      </c>
      <c r="F14" s="242">
        <v>540</v>
      </c>
      <c r="G14" s="231">
        <v>630</v>
      </c>
      <c r="H14" s="231">
        <f t="shared" si="3"/>
        <v>90</v>
      </c>
      <c r="I14" s="263" t="s">
        <v>1289</v>
      </c>
      <c r="J14" s="240" t="s">
        <v>1275</v>
      </c>
    </row>
    <row r="15" ht="40" customHeight="1" spans="1:10">
      <c r="A15" s="238">
        <f t="shared" si="2"/>
        <v>10</v>
      </c>
      <c r="B15" s="239" t="s">
        <v>1282</v>
      </c>
      <c r="C15" s="240" t="s">
        <v>1286</v>
      </c>
      <c r="D15" s="240" t="s">
        <v>1290</v>
      </c>
      <c r="E15" s="241">
        <v>155.29</v>
      </c>
      <c r="F15" s="242">
        <v>7810</v>
      </c>
      <c r="G15" s="243">
        <v>7810</v>
      </c>
      <c r="H15" s="231">
        <f t="shared" si="3"/>
        <v>0</v>
      </c>
      <c r="I15" s="263" t="s">
        <v>1291</v>
      </c>
      <c r="J15" s="240" t="s">
        <v>1275</v>
      </c>
    </row>
    <row r="16" ht="40" customHeight="1" spans="1:10">
      <c r="A16" s="238">
        <f t="shared" si="2"/>
        <v>11</v>
      </c>
      <c r="B16" s="239" t="s">
        <v>1292</v>
      </c>
      <c r="C16" s="240" t="s">
        <v>1286</v>
      </c>
      <c r="D16" s="240" t="s">
        <v>1293</v>
      </c>
      <c r="E16" s="241">
        <f>7.83+10.049+16.25+20+4.59</f>
        <v>58.719</v>
      </c>
      <c r="F16" s="242">
        <v>3825</v>
      </c>
      <c r="G16" s="231">
        <v>3825</v>
      </c>
      <c r="H16" s="231">
        <f t="shared" si="3"/>
        <v>0</v>
      </c>
      <c r="I16" s="263" t="s">
        <v>1274</v>
      </c>
      <c r="J16" s="240" t="s">
        <v>1275</v>
      </c>
    </row>
    <row r="17" ht="40" customHeight="1" spans="1:10">
      <c r="A17" s="238">
        <f t="shared" si="2"/>
        <v>12</v>
      </c>
      <c r="B17" s="239" t="s">
        <v>1294</v>
      </c>
      <c r="C17" s="244" t="s">
        <v>1295</v>
      </c>
      <c r="D17" s="244" t="s">
        <v>1296</v>
      </c>
      <c r="E17" s="241">
        <v>2.55</v>
      </c>
      <c r="F17" s="245">
        <v>178</v>
      </c>
      <c r="G17" s="231">
        <v>185</v>
      </c>
      <c r="H17" s="231">
        <f t="shared" si="3"/>
        <v>7</v>
      </c>
      <c r="I17" s="263" t="s">
        <v>1274</v>
      </c>
      <c r="J17" s="266" t="s">
        <v>1275</v>
      </c>
    </row>
    <row r="18" ht="40" customHeight="1" spans="1:10">
      <c r="A18" s="238">
        <f t="shared" si="2"/>
        <v>13</v>
      </c>
      <c r="B18" s="239" t="s">
        <v>1294</v>
      </c>
      <c r="C18" s="240" t="s">
        <v>1286</v>
      </c>
      <c r="D18" s="240" t="s">
        <v>1297</v>
      </c>
      <c r="E18" s="241">
        <v>42</v>
      </c>
      <c r="F18" s="242">
        <v>2700</v>
      </c>
      <c r="G18" s="231">
        <v>0</v>
      </c>
      <c r="H18" s="231">
        <f t="shared" si="3"/>
        <v>-2700</v>
      </c>
      <c r="I18" s="263"/>
      <c r="J18" s="240" t="s">
        <v>1275</v>
      </c>
    </row>
    <row r="19" ht="40" customHeight="1" spans="1:10">
      <c r="A19" s="238">
        <f t="shared" si="2"/>
        <v>14</v>
      </c>
      <c r="B19" s="244" t="s">
        <v>573</v>
      </c>
      <c r="C19" s="244" t="s">
        <v>1298</v>
      </c>
      <c r="D19" s="244" t="s">
        <v>1299</v>
      </c>
      <c r="E19" s="241">
        <v>28.19</v>
      </c>
      <c r="F19" s="245">
        <v>1000</v>
      </c>
      <c r="G19" s="245">
        <v>0</v>
      </c>
      <c r="H19" s="231">
        <f t="shared" si="3"/>
        <v>-1000</v>
      </c>
      <c r="I19" s="263"/>
      <c r="J19" s="240" t="s">
        <v>1300</v>
      </c>
    </row>
    <row r="20" ht="40" customHeight="1" spans="1:10">
      <c r="A20" s="238">
        <f t="shared" si="2"/>
        <v>15</v>
      </c>
      <c r="B20" s="244" t="s">
        <v>573</v>
      </c>
      <c r="C20" s="239" t="s">
        <v>1301</v>
      </c>
      <c r="D20" s="246"/>
      <c r="E20" s="247"/>
      <c r="F20" s="245">
        <v>14000</v>
      </c>
      <c r="G20" s="231">
        <f>13500+3930+121+4500+3000</f>
        <v>25051</v>
      </c>
      <c r="H20" s="231">
        <f t="shared" si="3"/>
        <v>11051</v>
      </c>
      <c r="I20" s="267"/>
      <c r="J20" s="268" t="s">
        <v>1302</v>
      </c>
    </row>
    <row r="21" ht="40" customHeight="1" spans="1:10">
      <c r="A21" s="238">
        <f t="shared" si="2"/>
        <v>16</v>
      </c>
      <c r="B21" s="239" t="s">
        <v>1114</v>
      </c>
      <c r="C21" s="239" t="s">
        <v>1303</v>
      </c>
      <c r="D21" s="239"/>
      <c r="E21" s="247"/>
      <c r="F21" s="245">
        <v>-6000</v>
      </c>
      <c r="G21" s="231">
        <v>-4000</v>
      </c>
      <c r="H21" s="231">
        <f t="shared" si="3"/>
        <v>2000</v>
      </c>
      <c r="I21" s="228"/>
      <c r="J21" s="265"/>
    </row>
    <row r="22" ht="40" customHeight="1" spans="1:10">
      <c r="A22" s="248" t="s">
        <v>1304</v>
      </c>
      <c r="B22" s="248"/>
      <c r="C22" s="248"/>
      <c r="D22" s="248"/>
      <c r="E22" s="249">
        <f t="shared" ref="E22:G22" si="4">SUM(E11:E21)</f>
        <v>733.779</v>
      </c>
      <c r="F22" s="250">
        <f t="shared" si="4"/>
        <v>101998</v>
      </c>
      <c r="G22" s="250">
        <f t="shared" si="4"/>
        <v>51464</v>
      </c>
      <c r="H22" s="251">
        <f t="shared" si="3"/>
        <v>-50534</v>
      </c>
      <c r="I22" s="269"/>
      <c r="J22" s="270"/>
    </row>
    <row r="23" s="77" customFormat="1" ht="40" customHeight="1" spans="1:10">
      <c r="A23" s="235" t="s">
        <v>1305</v>
      </c>
      <c r="B23" s="235"/>
      <c r="C23" s="235"/>
      <c r="D23" s="235"/>
      <c r="E23" s="252">
        <f t="shared" ref="E23:G23" si="5">E22+E10</f>
        <v>967.686075520462</v>
      </c>
      <c r="F23" s="253">
        <f t="shared" si="5"/>
        <v>241849</v>
      </c>
      <c r="G23" s="253">
        <f t="shared" si="5"/>
        <v>74698</v>
      </c>
      <c r="H23" s="251">
        <f t="shared" si="3"/>
        <v>-167151</v>
      </c>
      <c r="I23" s="263"/>
      <c r="J23" s="271"/>
    </row>
    <row r="24" s="77" customFormat="1" ht="40" customHeight="1" spans="1:10">
      <c r="A24" s="235" t="s">
        <v>1306</v>
      </c>
      <c r="B24" s="235"/>
      <c r="C24" s="235"/>
      <c r="D24" s="235"/>
      <c r="E24" s="254"/>
      <c r="F24" s="251">
        <v>8200</v>
      </c>
      <c r="G24" s="251">
        <v>6900</v>
      </c>
      <c r="H24" s="251">
        <f t="shared" si="3"/>
        <v>-1300</v>
      </c>
      <c r="I24" s="265"/>
      <c r="J24" s="272"/>
    </row>
    <row r="25" ht="40" customHeight="1" spans="1:10">
      <c r="A25" s="235" t="s">
        <v>1307</v>
      </c>
      <c r="B25" s="235"/>
      <c r="C25" s="235"/>
      <c r="D25" s="235"/>
      <c r="E25" s="255"/>
      <c r="F25" s="251">
        <v>60</v>
      </c>
      <c r="G25" s="251">
        <v>40</v>
      </c>
      <c r="H25" s="251">
        <f t="shared" si="3"/>
        <v>-20</v>
      </c>
      <c r="I25" s="272"/>
      <c r="J25" s="272"/>
    </row>
    <row r="26" ht="40" customHeight="1" spans="1:10">
      <c r="A26" s="235" t="s">
        <v>1308</v>
      </c>
      <c r="B26" s="235"/>
      <c r="C26" s="235"/>
      <c r="D26" s="235"/>
      <c r="E26" s="256"/>
      <c r="F26" s="251">
        <f>F23+F24+F25</f>
        <v>250109</v>
      </c>
      <c r="G26" s="251">
        <f>G23+G24+G25</f>
        <v>81638</v>
      </c>
      <c r="H26" s="251">
        <f t="shared" si="3"/>
        <v>-168471</v>
      </c>
      <c r="I26" s="272"/>
      <c r="J26" s="272"/>
    </row>
    <row r="27" ht="40" customHeight="1" spans="1:10">
      <c r="A27" s="235" t="s">
        <v>1309</v>
      </c>
      <c r="B27" s="235"/>
      <c r="C27" s="235"/>
      <c r="D27" s="235"/>
      <c r="E27" s="252"/>
      <c r="F27" s="253">
        <f>F22+F24+F25</f>
        <v>110258</v>
      </c>
      <c r="G27" s="253">
        <f>G22+G24+G25</f>
        <v>58404</v>
      </c>
      <c r="H27" s="251">
        <f t="shared" si="3"/>
        <v>-51854</v>
      </c>
      <c r="I27" s="273"/>
      <c r="J27" s="274"/>
    </row>
    <row r="28" spans="1:4">
      <c r="A28" s="257"/>
      <c r="B28" s="257"/>
      <c r="C28" s="258"/>
      <c r="D28" s="259"/>
    </row>
    <row r="29" spans="5:6">
      <c r="E29" s="260"/>
      <c r="F29" s="218"/>
    </row>
  </sheetData>
  <autoFilter xmlns:etc="http://www.wps.cn/officeDocument/2017/etCustomData" ref="A4:J27" etc:filterBottomFollowUsedRange="0">
    <extLst/>
  </autoFilter>
  <mergeCells count="10">
    <mergeCell ref="A2:J2"/>
    <mergeCell ref="I3:J3"/>
    <mergeCell ref="A10:D10"/>
    <mergeCell ref="C21:D21"/>
    <mergeCell ref="A22:D22"/>
    <mergeCell ref="A23:D23"/>
    <mergeCell ref="A24:D24"/>
    <mergeCell ref="A25:D25"/>
    <mergeCell ref="A26:D26"/>
    <mergeCell ref="A27:D27"/>
  </mergeCells>
  <printOptions horizontalCentered="1"/>
  <pageMargins left="0.786805555555556" right="0.786805555555556" top="0.393055555555556" bottom="0.393055555555556" header="0.196527777777778" footer="0.196527777777778"/>
  <pageSetup paperSize="9" scale="67"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82"/>
  <sheetViews>
    <sheetView workbookViewId="0">
      <pane ySplit="5" topLeftCell="A54" activePane="bottomLeft" state="frozen"/>
      <selection/>
      <selection pane="bottomLeft" activeCell="Q76" sqref="Q76"/>
    </sheetView>
  </sheetViews>
  <sheetFormatPr defaultColWidth="9" defaultRowHeight="23" customHeight="1"/>
  <cols>
    <col min="1" max="1" width="10.625" style="190" customWidth="1"/>
    <col min="2" max="2" width="6" style="191" hidden="1" customWidth="1"/>
    <col min="3" max="3" width="60.625" style="104" customWidth="1"/>
    <col min="4" max="7" width="10.625" style="101" customWidth="1"/>
    <col min="8" max="10" width="10.1333333333333" style="101" hidden="1" customWidth="1"/>
    <col min="11" max="15" width="10.625" style="101" customWidth="1"/>
    <col min="16" max="16" width="8.625" style="129" customWidth="1"/>
    <col min="17" max="17" width="15.625" style="101" customWidth="1"/>
    <col min="18" max="18" width="10.5" style="101" customWidth="1"/>
    <col min="19" max="16384" width="9" style="101"/>
  </cols>
  <sheetData>
    <row r="1" s="188" customFormat="1" ht="20" customHeight="1" spans="1:12">
      <c r="A1" s="30" t="s">
        <v>1310</v>
      </c>
      <c r="B1" s="192"/>
      <c r="C1" s="193"/>
      <c r="D1" s="192"/>
      <c r="E1" s="194"/>
      <c r="F1" s="192"/>
      <c r="G1" s="192"/>
      <c r="H1" s="192"/>
      <c r="I1" s="192"/>
      <c r="J1" s="192"/>
      <c r="K1" s="208"/>
      <c r="L1" s="209"/>
    </row>
    <row r="2" s="189" customFormat="1" ht="30" customHeight="1" spans="1:17">
      <c r="A2" s="195" t="s">
        <v>1311</v>
      </c>
      <c r="B2" s="195"/>
      <c r="C2" s="195"/>
      <c r="D2" s="195"/>
      <c r="E2" s="195"/>
      <c r="F2" s="195"/>
      <c r="G2" s="195"/>
      <c r="H2" s="195"/>
      <c r="I2" s="195"/>
      <c r="J2" s="195"/>
      <c r="K2" s="195"/>
      <c r="L2" s="195"/>
      <c r="M2" s="195"/>
      <c r="N2" s="195"/>
      <c r="O2" s="195"/>
      <c r="P2" s="195"/>
      <c r="Q2" s="195"/>
    </row>
    <row r="3" s="189" customFormat="1" ht="20" customHeight="1" spans="1:17">
      <c r="A3" s="196"/>
      <c r="B3" s="196"/>
      <c r="C3" s="196"/>
      <c r="D3" s="196"/>
      <c r="E3" s="197"/>
      <c r="F3" s="197"/>
      <c r="G3" s="197"/>
      <c r="H3" s="197"/>
      <c r="I3" s="197"/>
      <c r="J3" s="197"/>
      <c r="K3" s="196"/>
      <c r="L3" s="196"/>
      <c r="Q3" s="210" t="s">
        <v>5</v>
      </c>
    </row>
    <row r="4" s="55" customFormat="1" ht="25" customHeight="1" spans="1:17">
      <c r="A4" s="13" t="s">
        <v>62</v>
      </c>
      <c r="B4" s="13" t="s">
        <v>63</v>
      </c>
      <c r="C4" s="13" t="s">
        <v>63</v>
      </c>
      <c r="D4" s="13" t="s">
        <v>1312</v>
      </c>
      <c r="E4" s="13"/>
      <c r="F4" s="116"/>
      <c r="G4" s="13" t="s">
        <v>8</v>
      </c>
      <c r="H4" s="13"/>
      <c r="I4" s="13"/>
      <c r="J4" s="13"/>
      <c r="K4" s="13"/>
      <c r="L4" s="13"/>
      <c r="M4" s="13" t="s">
        <v>9</v>
      </c>
      <c r="N4" s="13"/>
      <c r="O4" s="13"/>
      <c r="P4" s="134" t="s">
        <v>10</v>
      </c>
      <c r="Q4" s="13" t="s">
        <v>11</v>
      </c>
    </row>
    <row r="5" s="55" customFormat="1" ht="25" customHeight="1" spans="1:17">
      <c r="A5" s="13"/>
      <c r="B5" s="13"/>
      <c r="C5" s="13"/>
      <c r="D5" s="198" t="s">
        <v>65</v>
      </c>
      <c r="E5" s="13" t="s">
        <v>66</v>
      </c>
      <c r="F5" s="198" t="s">
        <v>67</v>
      </c>
      <c r="G5" s="198" t="s">
        <v>68</v>
      </c>
      <c r="H5" s="198" t="s">
        <v>1313</v>
      </c>
      <c r="I5" s="198" t="s">
        <v>69</v>
      </c>
      <c r="J5" s="198" t="s">
        <v>1314</v>
      </c>
      <c r="K5" s="198" t="s">
        <v>1315</v>
      </c>
      <c r="L5" s="198" t="s">
        <v>66</v>
      </c>
      <c r="M5" s="13" t="s">
        <v>65</v>
      </c>
      <c r="N5" s="13" t="s">
        <v>66</v>
      </c>
      <c r="O5" s="13" t="s">
        <v>67</v>
      </c>
      <c r="P5" s="134"/>
      <c r="Q5" s="13"/>
    </row>
    <row r="6" s="101" customFormat="1" ht="25" customHeight="1" spans="1:17">
      <c r="A6" s="199" t="s">
        <v>1316</v>
      </c>
      <c r="B6" s="200"/>
      <c r="C6" s="201" t="s">
        <v>1317</v>
      </c>
      <c r="D6" s="119">
        <v>0</v>
      </c>
      <c r="E6" s="119">
        <v>1.6</v>
      </c>
      <c r="F6" s="119">
        <f>D6+E6</f>
        <v>1.6</v>
      </c>
      <c r="G6" s="119"/>
      <c r="H6" s="119"/>
      <c r="I6" s="119"/>
      <c r="J6" s="119"/>
      <c r="K6" s="119"/>
      <c r="L6" s="119"/>
      <c r="M6" s="119">
        <v>0</v>
      </c>
      <c r="N6" s="119">
        <v>1.6</v>
      </c>
      <c r="O6" s="119">
        <f>M6+N6</f>
        <v>1.6</v>
      </c>
      <c r="P6" s="120">
        <f>IF(F6=0,IF(O6=0,0,100),100*(O6/F6-1))</f>
        <v>0</v>
      </c>
      <c r="Q6" s="122"/>
    </row>
    <row r="7" s="101" customFormat="1" ht="25" customHeight="1" spans="1:17">
      <c r="A7" s="199" t="s">
        <v>1318</v>
      </c>
      <c r="B7" s="200"/>
      <c r="C7" s="201" t="s">
        <v>1319</v>
      </c>
      <c r="D7" s="119">
        <v>0</v>
      </c>
      <c r="E7" s="119">
        <v>1.6</v>
      </c>
      <c r="F7" s="119">
        <f t="shared" ref="F7:F38" si="0">D7+E7</f>
        <v>1.6</v>
      </c>
      <c r="G7" s="119"/>
      <c r="H7" s="119"/>
      <c r="I7" s="119"/>
      <c r="J7" s="119"/>
      <c r="K7" s="119"/>
      <c r="L7" s="119"/>
      <c r="M7" s="119">
        <v>0</v>
      </c>
      <c r="N7" s="119">
        <v>1.6</v>
      </c>
      <c r="O7" s="119">
        <f t="shared" ref="O7:O38" si="1">M7+N7</f>
        <v>1.6</v>
      </c>
      <c r="P7" s="120">
        <f t="shared" ref="P7:P38" si="2">IF(F7=0,IF(O7=0,0,100),100*(O7/F7-1))</f>
        <v>0</v>
      </c>
      <c r="Q7" s="122"/>
    </row>
    <row r="8" s="101" customFormat="1" ht="25" customHeight="1" spans="1:17">
      <c r="A8" s="199" t="s">
        <v>1320</v>
      </c>
      <c r="B8" s="200"/>
      <c r="C8" s="201" t="s">
        <v>1321</v>
      </c>
      <c r="D8" s="119">
        <v>170567</v>
      </c>
      <c r="E8" s="119">
        <v>7894.89</v>
      </c>
      <c r="F8" s="119">
        <f t="shared" si="0"/>
        <v>178461.89</v>
      </c>
      <c r="G8" s="119">
        <f t="shared" ref="G7:G40" si="3">M8-D8</f>
        <v>-115867.33</v>
      </c>
      <c r="H8" s="119"/>
      <c r="I8" s="119"/>
      <c r="J8" s="119"/>
      <c r="K8" s="119"/>
      <c r="L8" s="119">
        <f>N8-E8</f>
        <v>-2643.2</v>
      </c>
      <c r="M8" s="119">
        <v>54699.67</v>
      </c>
      <c r="N8" s="119">
        <v>5251.69</v>
      </c>
      <c r="O8" s="119">
        <f t="shared" si="1"/>
        <v>59951.36</v>
      </c>
      <c r="P8" s="120">
        <f t="shared" si="2"/>
        <v>-66.406631690385</v>
      </c>
      <c r="Q8" s="117"/>
    </row>
    <row r="9" s="101" customFormat="1" ht="25" customHeight="1" spans="1:17">
      <c r="A9" s="199" t="s">
        <v>1322</v>
      </c>
      <c r="B9" s="200"/>
      <c r="C9" s="201" t="s">
        <v>1323</v>
      </c>
      <c r="D9" s="119">
        <v>155920</v>
      </c>
      <c r="E9" s="119">
        <v>7894.89</v>
      </c>
      <c r="F9" s="119">
        <f t="shared" si="0"/>
        <v>163814.89</v>
      </c>
      <c r="G9" s="119">
        <f t="shared" si="3"/>
        <v>-108234.33</v>
      </c>
      <c r="H9" s="119"/>
      <c r="I9" s="119"/>
      <c r="J9" s="119"/>
      <c r="K9" s="119"/>
      <c r="L9" s="119">
        <f>N9-E9</f>
        <v>-2643.2</v>
      </c>
      <c r="M9" s="119">
        <v>47685.67</v>
      </c>
      <c r="N9" s="119">
        <v>5251.69</v>
      </c>
      <c r="O9" s="119">
        <f t="shared" si="1"/>
        <v>52937.36</v>
      </c>
      <c r="P9" s="120">
        <f t="shared" si="2"/>
        <v>-67.6846469817243</v>
      </c>
      <c r="Q9" s="121"/>
    </row>
    <row r="10" s="101" customFormat="1" ht="25" customHeight="1" spans="1:17">
      <c r="A10" s="199">
        <v>2120801</v>
      </c>
      <c r="B10" s="200"/>
      <c r="C10" s="202" t="s">
        <v>1324</v>
      </c>
      <c r="D10" s="123">
        <v>26134</v>
      </c>
      <c r="E10" s="203">
        <v>5111.99</v>
      </c>
      <c r="F10" s="119">
        <f t="shared" si="0"/>
        <v>31245.99</v>
      </c>
      <c r="G10" s="119">
        <f t="shared" si="3"/>
        <v>-5500.28</v>
      </c>
      <c r="H10" s="119"/>
      <c r="I10" s="119"/>
      <c r="J10" s="119"/>
      <c r="K10" s="119"/>
      <c r="L10" s="119">
        <f>N10-E10</f>
        <v>-111.99</v>
      </c>
      <c r="M10" s="119">
        <v>20633.72</v>
      </c>
      <c r="N10" s="119">
        <v>5000</v>
      </c>
      <c r="O10" s="119">
        <f t="shared" si="1"/>
        <v>25633.72</v>
      </c>
      <c r="P10" s="120">
        <f t="shared" si="2"/>
        <v>-17.9615688285121</v>
      </c>
      <c r="Q10" s="117"/>
    </row>
    <row r="11" s="101" customFormat="1" ht="25" customHeight="1" spans="1:17">
      <c r="A11" s="199">
        <v>2120802</v>
      </c>
      <c r="B11" s="200"/>
      <c r="C11" s="202" t="s">
        <v>1325</v>
      </c>
      <c r="D11" s="123">
        <v>47161</v>
      </c>
      <c r="E11" s="203"/>
      <c r="F11" s="119">
        <f t="shared" si="0"/>
        <v>47161</v>
      </c>
      <c r="G11" s="119">
        <f t="shared" si="3"/>
        <v>-41469</v>
      </c>
      <c r="H11" s="119"/>
      <c r="I11" s="119"/>
      <c r="J11" s="119"/>
      <c r="K11" s="119"/>
      <c r="L11" s="119"/>
      <c r="M11" s="119">
        <v>5692</v>
      </c>
      <c r="N11" s="119"/>
      <c r="O11" s="119">
        <f t="shared" si="1"/>
        <v>5692</v>
      </c>
      <c r="P11" s="120">
        <f t="shared" si="2"/>
        <v>-87.9307054557791</v>
      </c>
      <c r="Q11" s="117"/>
    </row>
    <row r="12" s="101" customFormat="1" ht="25" customHeight="1" spans="1:17">
      <c r="A12" s="199">
        <v>2120803</v>
      </c>
      <c r="B12" s="200"/>
      <c r="C12" s="201" t="s">
        <v>1326</v>
      </c>
      <c r="D12" s="123">
        <v>71470</v>
      </c>
      <c r="E12" s="203">
        <v>500</v>
      </c>
      <c r="F12" s="119">
        <f t="shared" si="0"/>
        <v>71970</v>
      </c>
      <c r="G12" s="119">
        <f t="shared" si="3"/>
        <v>-56314</v>
      </c>
      <c r="H12" s="119"/>
      <c r="I12" s="119"/>
      <c r="J12" s="119"/>
      <c r="K12" s="119"/>
      <c r="L12" s="119">
        <f>N12-E12</f>
        <v>-500</v>
      </c>
      <c r="M12" s="119">
        <v>15156</v>
      </c>
      <c r="N12" s="119"/>
      <c r="O12" s="119">
        <f t="shared" si="1"/>
        <v>15156</v>
      </c>
      <c r="P12" s="120">
        <f t="shared" si="2"/>
        <v>-78.9412255106294</v>
      </c>
      <c r="Q12" s="117"/>
    </row>
    <row r="13" s="101" customFormat="1" ht="25" customHeight="1" spans="1:17">
      <c r="A13" s="199">
        <v>2120804</v>
      </c>
      <c r="B13" s="200"/>
      <c r="C13" s="202" t="s">
        <v>1327</v>
      </c>
      <c r="D13" s="123">
        <v>3176</v>
      </c>
      <c r="E13" s="203">
        <v>2192.9</v>
      </c>
      <c r="F13" s="119">
        <f t="shared" si="0"/>
        <v>5368.9</v>
      </c>
      <c r="G13" s="119">
        <f t="shared" si="3"/>
        <v>-1024.15</v>
      </c>
      <c r="H13" s="119"/>
      <c r="I13" s="119"/>
      <c r="J13" s="119"/>
      <c r="K13" s="119"/>
      <c r="L13" s="119">
        <f>N13-E13</f>
        <v>-2034.4</v>
      </c>
      <c r="M13" s="119">
        <v>2151.85</v>
      </c>
      <c r="N13" s="119">
        <v>158.5</v>
      </c>
      <c r="O13" s="119">
        <f t="shared" si="1"/>
        <v>2310.35</v>
      </c>
      <c r="P13" s="120">
        <f t="shared" si="2"/>
        <v>-56.9679077650916</v>
      </c>
      <c r="Q13" s="117"/>
    </row>
    <row r="14" s="101" customFormat="1" ht="25" customHeight="1" spans="1:17">
      <c r="A14" s="199">
        <v>2120805</v>
      </c>
      <c r="B14" s="200"/>
      <c r="C14" s="201" t="s">
        <v>1328</v>
      </c>
      <c r="D14" s="123">
        <v>2428</v>
      </c>
      <c r="E14" s="203"/>
      <c r="F14" s="119">
        <f t="shared" si="0"/>
        <v>2428</v>
      </c>
      <c r="G14" s="119">
        <f t="shared" si="3"/>
        <v>194</v>
      </c>
      <c r="H14" s="119"/>
      <c r="I14" s="119"/>
      <c r="J14" s="119"/>
      <c r="K14" s="119"/>
      <c r="L14" s="119"/>
      <c r="M14" s="119">
        <v>2622</v>
      </c>
      <c r="N14" s="119"/>
      <c r="O14" s="119">
        <f t="shared" si="1"/>
        <v>2622</v>
      </c>
      <c r="P14" s="120">
        <f t="shared" si="2"/>
        <v>7.99011532125207</v>
      </c>
      <c r="Q14" s="117"/>
    </row>
    <row r="15" s="101" customFormat="1" ht="25" customHeight="1" spans="1:17">
      <c r="A15" s="199">
        <v>2120806</v>
      </c>
      <c r="B15" s="200"/>
      <c r="C15" s="202" t="s">
        <v>1329</v>
      </c>
      <c r="D15" s="123">
        <v>1483</v>
      </c>
      <c r="E15" s="203"/>
      <c r="F15" s="119">
        <f t="shared" si="0"/>
        <v>1483</v>
      </c>
      <c r="G15" s="119">
        <f t="shared" si="3"/>
        <v>-978.9</v>
      </c>
      <c r="H15" s="119"/>
      <c r="I15" s="119"/>
      <c r="J15" s="119"/>
      <c r="K15" s="119"/>
      <c r="L15" s="119"/>
      <c r="M15" s="119">
        <v>504.1</v>
      </c>
      <c r="N15" s="119"/>
      <c r="O15" s="119">
        <f t="shared" si="1"/>
        <v>504.1</v>
      </c>
      <c r="P15" s="120">
        <f t="shared" si="2"/>
        <v>-66.0080917060014</v>
      </c>
      <c r="Q15" s="117"/>
    </row>
    <row r="16" s="101" customFormat="1" ht="25" customHeight="1" spans="1:17">
      <c r="A16" s="199">
        <v>2120807</v>
      </c>
      <c r="B16" s="200"/>
      <c r="C16" s="202" t="s">
        <v>1330</v>
      </c>
      <c r="D16" s="203">
        <v>0</v>
      </c>
      <c r="E16" s="203"/>
      <c r="F16" s="119">
        <f t="shared" si="0"/>
        <v>0</v>
      </c>
      <c r="G16" s="119"/>
      <c r="H16" s="119"/>
      <c r="I16" s="119"/>
      <c r="J16" s="119"/>
      <c r="K16" s="119"/>
      <c r="L16" s="119"/>
      <c r="M16" s="119">
        <v>0</v>
      </c>
      <c r="N16" s="119"/>
      <c r="O16" s="119">
        <f t="shared" si="1"/>
        <v>0</v>
      </c>
      <c r="P16" s="120">
        <f t="shared" si="2"/>
        <v>0</v>
      </c>
      <c r="Q16" s="117"/>
    </row>
    <row r="17" s="101" customFormat="1" ht="25" customHeight="1" spans="1:17">
      <c r="A17" s="199">
        <v>2120808</v>
      </c>
      <c r="B17" s="200"/>
      <c r="C17" s="201" t="s">
        <v>1331</v>
      </c>
      <c r="D17" s="203">
        <v>0</v>
      </c>
      <c r="E17" s="203"/>
      <c r="F17" s="119">
        <f t="shared" si="0"/>
        <v>0</v>
      </c>
      <c r="G17" s="119"/>
      <c r="H17" s="119"/>
      <c r="I17" s="119"/>
      <c r="J17" s="119"/>
      <c r="K17" s="119"/>
      <c r="L17" s="119"/>
      <c r="M17" s="119">
        <v>0</v>
      </c>
      <c r="N17" s="119"/>
      <c r="O17" s="119">
        <f t="shared" si="1"/>
        <v>0</v>
      </c>
      <c r="P17" s="120">
        <f t="shared" si="2"/>
        <v>0</v>
      </c>
      <c r="Q17" s="117"/>
    </row>
    <row r="18" s="101" customFormat="1" ht="25" customHeight="1" spans="1:17">
      <c r="A18" s="199" t="s">
        <v>1332</v>
      </c>
      <c r="B18" s="200"/>
      <c r="C18" s="201" t="s">
        <v>1333</v>
      </c>
      <c r="D18" s="203">
        <v>0</v>
      </c>
      <c r="E18" s="203"/>
      <c r="F18" s="119">
        <f t="shared" si="0"/>
        <v>0</v>
      </c>
      <c r="G18" s="119"/>
      <c r="H18" s="119"/>
      <c r="I18" s="119"/>
      <c r="J18" s="119"/>
      <c r="K18" s="119"/>
      <c r="L18" s="119"/>
      <c r="M18" s="119">
        <v>0</v>
      </c>
      <c r="N18" s="119"/>
      <c r="O18" s="119">
        <f t="shared" si="1"/>
        <v>0</v>
      </c>
      <c r="P18" s="120">
        <f t="shared" si="2"/>
        <v>0</v>
      </c>
      <c r="Q18" s="117"/>
    </row>
    <row r="19" s="101" customFormat="1" ht="25" customHeight="1" spans="1:17">
      <c r="A19" s="199">
        <v>2120811</v>
      </c>
      <c r="B19" s="200"/>
      <c r="C19" s="201" t="s">
        <v>1334</v>
      </c>
      <c r="D19" s="123">
        <v>462</v>
      </c>
      <c r="E19" s="203"/>
      <c r="F19" s="119">
        <f t="shared" si="0"/>
        <v>462</v>
      </c>
      <c r="G19" s="119">
        <f t="shared" si="3"/>
        <v>-400</v>
      </c>
      <c r="H19" s="119"/>
      <c r="I19" s="119"/>
      <c r="J19" s="119"/>
      <c r="K19" s="119"/>
      <c r="L19" s="119"/>
      <c r="M19" s="119">
        <v>62</v>
      </c>
      <c r="N19" s="119"/>
      <c r="O19" s="119">
        <f t="shared" si="1"/>
        <v>62</v>
      </c>
      <c r="P19" s="120">
        <f t="shared" si="2"/>
        <v>-86.5800865800866</v>
      </c>
      <c r="Q19" s="117"/>
    </row>
    <row r="20" s="101" customFormat="1" ht="25" customHeight="1" spans="1:17">
      <c r="A20" s="199">
        <v>2120812</v>
      </c>
      <c r="B20" s="200"/>
      <c r="C20" s="201" t="s">
        <v>1335</v>
      </c>
      <c r="D20" s="203">
        <v>0</v>
      </c>
      <c r="E20" s="203"/>
      <c r="F20" s="119">
        <f t="shared" si="0"/>
        <v>0</v>
      </c>
      <c r="G20" s="119"/>
      <c r="H20" s="119"/>
      <c r="I20" s="119"/>
      <c r="J20" s="119"/>
      <c r="K20" s="119"/>
      <c r="L20" s="119"/>
      <c r="M20" s="119">
        <v>0</v>
      </c>
      <c r="N20" s="119"/>
      <c r="O20" s="119">
        <f t="shared" si="1"/>
        <v>0</v>
      </c>
      <c r="P20" s="120">
        <f t="shared" si="2"/>
        <v>0</v>
      </c>
      <c r="Q20" s="117"/>
    </row>
    <row r="21" s="101" customFormat="1" ht="25" customHeight="1" spans="1:17">
      <c r="A21" s="199">
        <v>2120899</v>
      </c>
      <c r="B21" s="200"/>
      <c r="C21" s="201" t="s">
        <v>1336</v>
      </c>
      <c r="D21" s="123">
        <v>3606</v>
      </c>
      <c r="E21" s="203">
        <v>90</v>
      </c>
      <c r="F21" s="119">
        <f t="shared" si="0"/>
        <v>3696</v>
      </c>
      <c r="G21" s="119">
        <f t="shared" si="3"/>
        <v>-2742</v>
      </c>
      <c r="H21" s="119"/>
      <c r="I21" s="119"/>
      <c r="J21" s="119"/>
      <c r="K21" s="119"/>
      <c r="L21" s="119">
        <f>N21-E21</f>
        <v>3.19</v>
      </c>
      <c r="M21" s="119">
        <v>864</v>
      </c>
      <c r="N21" s="119">
        <v>93.19</v>
      </c>
      <c r="O21" s="119">
        <f t="shared" si="1"/>
        <v>957.19</v>
      </c>
      <c r="P21" s="120">
        <f t="shared" si="2"/>
        <v>-74.1020021645022</v>
      </c>
      <c r="Q21" s="117"/>
    </row>
    <row r="22" s="101" customFormat="1" ht="25" customHeight="1" spans="1:17">
      <c r="A22" s="199" t="s">
        <v>1337</v>
      </c>
      <c r="B22" s="200"/>
      <c r="C22" s="201" t="s">
        <v>1338</v>
      </c>
      <c r="D22" s="119">
        <v>0</v>
      </c>
      <c r="E22" s="119"/>
      <c r="F22" s="119">
        <f t="shared" si="0"/>
        <v>0</v>
      </c>
      <c r="G22" s="119"/>
      <c r="H22" s="119"/>
      <c r="I22" s="119"/>
      <c r="J22" s="119"/>
      <c r="K22" s="119"/>
      <c r="L22" s="119"/>
      <c r="M22" s="119">
        <v>0</v>
      </c>
      <c r="N22" s="119"/>
      <c r="O22" s="119">
        <f t="shared" si="1"/>
        <v>0</v>
      </c>
      <c r="P22" s="120">
        <f t="shared" si="2"/>
        <v>0</v>
      </c>
      <c r="Q22" s="117"/>
    </row>
    <row r="23" s="101" customFormat="1" ht="25" customHeight="1" spans="1:17">
      <c r="A23" s="199" t="s">
        <v>1339</v>
      </c>
      <c r="B23" s="200"/>
      <c r="C23" s="201" t="s">
        <v>1340</v>
      </c>
      <c r="D23" s="203">
        <v>0</v>
      </c>
      <c r="E23" s="203"/>
      <c r="F23" s="119">
        <f t="shared" si="0"/>
        <v>0</v>
      </c>
      <c r="G23" s="119"/>
      <c r="H23" s="119"/>
      <c r="I23" s="119"/>
      <c r="J23" s="119"/>
      <c r="K23" s="119"/>
      <c r="L23" s="119"/>
      <c r="M23" s="119">
        <v>0</v>
      </c>
      <c r="N23" s="119"/>
      <c r="O23" s="119">
        <f t="shared" si="1"/>
        <v>0</v>
      </c>
      <c r="P23" s="120">
        <f t="shared" si="2"/>
        <v>0</v>
      </c>
      <c r="Q23" s="117"/>
    </row>
    <row r="24" s="101" customFormat="1" ht="25" customHeight="1" spans="1:17">
      <c r="A24" s="199" t="s">
        <v>1341</v>
      </c>
      <c r="B24" s="200"/>
      <c r="C24" s="201" t="s">
        <v>1342</v>
      </c>
      <c r="D24" s="203">
        <v>0</v>
      </c>
      <c r="E24" s="203"/>
      <c r="F24" s="119">
        <f t="shared" si="0"/>
        <v>0</v>
      </c>
      <c r="G24" s="119"/>
      <c r="H24" s="119"/>
      <c r="I24" s="119"/>
      <c r="J24" s="119"/>
      <c r="K24" s="119"/>
      <c r="L24" s="119"/>
      <c r="M24" s="119">
        <v>0</v>
      </c>
      <c r="N24" s="119"/>
      <c r="O24" s="119">
        <f t="shared" si="1"/>
        <v>0</v>
      </c>
      <c r="P24" s="120">
        <f t="shared" si="2"/>
        <v>0</v>
      </c>
      <c r="Q24" s="117"/>
    </row>
    <row r="25" s="101" customFormat="1" ht="25" customHeight="1" spans="1:17">
      <c r="A25" s="199">
        <v>2120999</v>
      </c>
      <c r="B25" s="200"/>
      <c r="C25" s="201" t="s">
        <v>1343</v>
      </c>
      <c r="D25" s="203">
        <v>0</v>
      </c>
      <c r="E25" s="203"/>
      <c r="F25" s="119">
        <f t="shared" si="0"/>
        <v>0</v>
      </c>
      <c r="G25" s="119"/>
      <c r="H25" s="119"/>
      <c r="I25" s="119"/>
      <c r="J25" s="119"/>
      <c r="K25" s="119"/>
      <c r="L25" s="119"/>
      <c r="M25" s="119">
        <v>0</v>
      </c>
      <c r="N25" s="119"/>
      <c r="O25" s="119">
        <f t="shared" si="1"/>
        <v>0</v>
      </c>
      <c r="P25" s="120">
        <f t="shared" si="2"/>
        <v>0</v>
      </c>
      <c r="Q25" s="117"/>
    </row>
    <row r="26" s="101" customFormat="1" ht="25" customHeight="1" spans="1:17">
      <c r="A26" s="199" t="s">
        <v>1344</v>
      </c>
      <c r="B26" s="200"/>
      <c r="C26" s="201" t="s">
        <v>1345</v>
      </c>
      <c r="D26" s="123">
        <v>4000</v>
      </c>
      <c r="E26" s="119"/>
      <c r="F26" s="119">
        <f t="shared" si="0"/>
        <v>4000</v>
      </c>
      <c r="G26" s="119">
        <f t="shared" si="3"/>
        <v>-4000</v>
      </c>
      <c r="H26" s="119"/>
      <c r="I26" s="119"/>
      <c r="J26" s="119"/>
      <c r="K26" s="119"/>
      <c r="L26" s="119"/>
      <c r="M26" s="119">
        <v>0</v>
      </c>
      <c r="N26" s="119"/>
      <c r="O26" s="119">
        <f t="shared" si="1"/>
        <v>0</v>
      </c>
      <c r="P26" s="120">
        <f t="shared" si="2"/>
        <v>-100</v>
      </c>
      <c r="Q26" s="117"/>
    </row>
    <row r="27" s="101" customFormat="1" ht="25" customHeight="1" spans="1:17">
      <c r="A27" s="199">
        <v>2121001</v>
      </c>
      <c r="B27" s="200"/>
      <c r="C27" s="201" t="s">
        <v>1346</v>
      </c>
      <c r="D27" s="203">
        <v>0</v>
      </c>
      <c r="E27" s="203"/>
      <c r="F27" s="119">
        <f t="shared" si="0"/>
        <v>0</v>
      </c>
      <c r="G27" s="119"/>
      <c r="H27" s="119"/>
      <c r="I27" s="119"/>
      <c r="J27" s="119"/>
      <c r="K27" s="119"/>
      <c r="L27" s="119"/>
      <c r="M27" s="119">
        <v>0</v>
      </c>
      <c r="N27" s="119"/>
      <c r="O27" s="119">
        <f t="shared" si="1"/>
        <v>0</v>
      </c>
      <c r="P27" s="120">
        <f t="shared" si="2"/>
        <v>0</v>
      </c>
      <c r="Q27" s="121"/>
    </row>
    <row r="28" s="101" customFormat="1" ht="25" customHeight="1" spans="1:17">
      <c r="A28" s="199">
        <v>2121002</v>
      </c>
      <c r="B28" s="200"/>
      <c r="C28" s="201" t="s">
        <v>1347</v>
      </c>
      <c r="D28" s="123">
        <v>4000</v>
      </c>
      <c r="E28" s="203"/>
      <c r="F28" s="119">
        <f t="shared" si="0"/>
        <v>4000</v>
      </c>
      <c r="G28" s="119">
        <f t="shared" si="3"/>
        <v>-4000</v>
      </c>
      <c r="H28" s="119"/>
      <c r="I28" s="119"/>
      <c r="J28" s="119"/>
      <c r="K28" s="119"/>
      <c r="L28" s="119"/>
      <c r="M28" s="119">
        <v>0</v>
      </c>
      <c r="N28" s="119"/>
      <c r="O28" s="119">
        <f t="shared" si="1"/>
        <v>0</v>
      </c>
      <c r="P28" s="120">
        <f t="shared" si="2"/>
        <v>-100</v>
      </c>
      <c r="Q28" s="121"/>
    </row>
    <row r="29" s="101" customFormat="1" ht="25" customHeight="1" spans="1:17">
      <c r="A29" s="199">
        <v>2121099</v>
      </c>
      <c r="B29" s="200"/>
      <c r="C29" s="201" t="s">
        <v>1348</v>
      </c>
      <c r="D29" s="203">
        <v>0</v>
      </c>
      <c r="E29" s="203"/>
      <c r="F29" s="119">
        <f t="shared" si="0"/>
        <v>0</v>
      </c>
      <c r="G29" s="119"/>
      <c r="H29" s="119"/>
      <c r="I29" s="119"/>
      <c r="J29" s="119"/>
      <c r="K29" s="119"/>
      <c r="L29" s="119"/>
      <c r="M29" s="119">
        <v>0</v>
      </c>
      <c r="N29" s="119"/>
      <c r="O29" s="119">
        <f t="shared" si="1"/>
        <v>0</v>
      </c>
      <c r="P29" s="120">
        <f t="shared" si="2"/>
        <v>0</v>
      </c>
      <c r="Q29" s="117"/>
    </row>
    <row r="30" s="101" customFormat="1" ht="25" customHeight="1" spans="1:17">
      <c r="A30" s="199" t="s">
        <v>1349</v>
      </c>
      <c r="B30" s="200"/>
      <c r="C30" s="201" t="s">
        <v>1350</v>
      </c>
      <c r="D30" s="123">
        <v>1841</v>
      </c>
      <c r="E30" s="203"/>
      <c r="F30" s="119">
        <f t="shared" si="0"/>
        <v>1841</v>
      </c>
      <c r="G30" s="119">
        <f t="shared" si="3"/>
        <v>-1841</v>
      </c>
      <c r="H30" s="119"/>
      <c r="I30" s="119"/>
      <c r="J30" s="119"/>
      <c r="K30" s="119"/>
      <c r="L30" s="119"/>
      <c r="M30" s="119">
        <v>0</v>
      </c>
      <c r="N30" s="119"/>
      <c r="O30" s="119">
        <f t="shared" si="1"/>
        <v>0</v>
      </c>
      <c r="P30" s="120">
        <f t="shared" si="2"/>
        <v>-100</v>
      </c>
      <c r="Q30" s="117"/>
    </row>
    <row r="31" s="101" customFormat="1" ht="25" customHeight="1" spans="1:17">
      <c r="A31" s="199" t="s">
        <v>1351</v>
      </c>
      <c r="B31" s="200"/>
      <c r="C31" s="201" t="s">
        <v>1352</v>
      </c>
      <c r="D31" s="203">
        <v>0</v>
      </c>
      <c r="E31" s="119"/>
      <c r="F31" s="119">
        <f t="shared" si="0"/>
        <v>0</v>
      </c>
      <c r="G31" s="119"/>
      <c r="H31" s="119"/>
      <c r="I31" s="119"/>
      <c r="J31" s="119"/>
      <c r="K31" s="119"/>
      <c r="L31" s="119"/>
      <c r="M31" s="119">
        <v>0</v>
      </c>
      <c r="N31" s="119"/>
      <c r="O31" s="119">
        <f t="shared" si="1"/>
        <v>0</v>
      </c>
      <c r="P31" s="120">
        <f t="shared" si="2"/>
        <v>0</v>
      </c>
      <c r="Q31" s="117"/>
    </row>
    <row r="32" s="101" customFormat="1" ht="25" customHeight="1" spans="1:17">
      <c r="A32" s="199">
        <v>2121202</v>
      </c>
      <c r="B32" s="200"/>
      <c r="C32" s="201" t="s">
        <v>1353</v>
      </c>
      <c r="D32" s="203">
        <v>0</v>
      </c>
      <c r="E32" s="203"/>
      <c r="F32" s="119">
        <f t="shared" si="0"/>
        <v>0</v>
      </c>
      <c r="G32" s="119"/>
      <c r="H32" s="119"/>
      <c r="I32" s="119"/>
      <c r="J32" s="119"/>
      <c r="K32" s="119"/>
      <c r="L32" s="119"/>
      <c r="M32" s="119">
        <v>0</v>
      </c>
      <c r="N32" s="119"/>
      <c r="O32" s="119">
        <f t="shared" si="1"/>
        <v>0</v>
      </c>
      <c r="P32" s="120">
        <f t="shared" si="2"/>
        <v>0</v>
      </c>
      <c r="Q32" s="117"/>
    </row>
    <row r="33" s="101" customFormat="1" ht="25" customHeight="1" spans="1:17">
      <c r="A33" s="199">
        <v>2121203</v>
      </c>
      <c r="B33" s="200"/>
      <c r="C33" s="201" t="s">
        <v>1354</v>
      </c>
      <c r="D33" s="203">
        <v>0</v>
      </c>
      <c r="E33" s="119"/>
      <c r="F33" s="119">
        <f t="shared" si="0"/>
        <v>0</v>
      </c>
      <c r="G33" s="119"/>
      <c r="H33" s="119"/>
      <c r="I33" s="119"/>
      <c r="J33" s="119"/>
      <c r="K33" s="119"/>
      <c r="L33" s="119"/>
      <c r="M33" s="119">
        <v>0</v>
      </c>
      <c r="N33" s="119"/>
      <c r="O33" s="119">
        <f t="shared" si="1"/>
        <v>0</v>
      </c>
      <c r="P33" s="120">
        <f t="shared" si="2"/>
        <v>0</v>
      </c>
      <c r="Q33" s="117"/>
    </row>
    <row r="34" s="101" customFormat="1" ht="25" customHeight="1" spans="1:17">
      <c r="A34" s="199" t="s">
        <v>1355</v>
      </c>
      <c r="B34" s="200"/>
      <c r="C34" s="201" t="s">
        <v>1356</v>
      </c>
      <c r="D34" s="123">
        <v>8806</v>
      </c>
      <c r="E34" s="119"/>
      <c r="F34" s="119">
        <f t="shared" si="0"/>
        <v>8806</v>
      </c>
      <c r="G34" s="119">
        <f t="shared" si="3"/>
        <v>-1792</v>
      </c>
      <c r="H34" s="119"/>
      <c r="I34" s="119"/>
      <c r="J34" s="119"/>
      <c r="K34" s="119"/>
      <c r="L34" s="119"/>
      <c r="M34" s="119">
        <v>7014</v>
      </c>
      <c r="N34" s="119"/>
      <c r="O34" s="119">
        <f t="shared" si="1"/>
        <v>7014</v>
      </c>
      <c r="P34" s="120">
        <f t="shared" si="2"/>
        <v>-20.3497615262321</v>
      </c>
      <c r="Q34" s="117"/>
    </row>
    <row r="35" s="101" customFormat="1" ht="25" customHeight="1" spans="1:17">
      <c r="A35" s="199" t="s">
        <v>1357</v>
      </c>
      <c r="B35" s="200"/>
      <c r="C35" s="201" t="s">
        <v>1340</v>
      </c>
      <c r="D35" s="204">
        <v>894</v>
      </c>
      <c r="E35" s="203"/>
      <c r="F35" s="119">
        <f t="shared" si="0"/>
        <v>894</v>
      </c>
      <c r="G35" s="119">
        <f t="shared" si="3"/>
        <v>-229</v>
      </c>
      <c r="H35" s="119"/>
      <c r="I35" s="119"/>
      <c r="J35" s="119"/>
      <c r="K35" s="119"/>
      <c r="L35" s="119"/>
      <c r="M35" s="119">
        <v>665</v>
      </c>
      <c r="N35" s="119"/>
      <c r="O35" s="119">
        <f t="shared" si="1"/>
        <v>665</v>
      </c>
      <c r="P35" s="120">
        <f t="shared" si="2"/>
        <v>-25.6152125279642</v>
      </c>
      <c r="Q35" s="117"/>
    </row>
    <row r="36" s="101" customFormat="1" ht="25" customHeight="1" spans="1:40">
      <c r="A36" s="199" t="s">
        <v>1358</v>
      </c>
      <c r="B36" s="200"/>
      <c r="C36" s="201" t="s">
        <v>1359</v>
      </c>
      <c r="D36" s="204">
        <v>7438</v>
      </c>
      <c r="E36" s="203"/>
      <c r="F36" s="119">
        <f t="shared" si="0"/>
        <v>7438</v>
      </c>
      <c r="G36" s="119">
        <f t="shared" si="3"/>
        <v>-1153</v>
      </c>
      <c r="H36" s="119"/>
      <c r="I36" s="119"/>
      <c r="J36" s="119"/>
      <c r="K36" s="119"/>
      <c r="L36" s="119"/>
      <c r="M36" s="119">
        <v>6285</v>
      </c>
      <c r="N36" s="119"/>
      <c r="O36" s="119">
        <f t="shared" si="1"/>
        <v>6285</v>
      </c>
      <c r="P36" s="120">
        <f t="shared" si="2"/>
        <v>-15.5014788921753</v>
      </c>
      <c r="Q36" s="117"/>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row>
    <row r="37" s="101" customFormat="1" ht="25" customHeight="1" spans="1:40">
      <c r="A37" s="199">
        <v>2121399</v>
      </c>
      <c r="B37" s="200"/>
      <c r="C37" s="201" t="s">
        <v>1360</v>
      </c>
      <c r="D37" s="204">
        <v>474</v>
      </c>
      <c r="E37" s="203"/>
      <c r="F37" s="119">
        <f t="shared" si="0"/>
        <v>474</v>
      </c>
      <c r="G37" s="119">
        <f t="shared" si="3"/>
        <v>-410</v>
      </c>
      <c r="H37" s="119"/>
      <c r="I37" s="119"/>
      <c r="J37" s="119"/>
      <c r="K37" s="119"/>
      <c r="L37" s="119"/>
      <c r="M37" s="119">
        <v>64</v>
      </c>
      <c r="N37" s="119"/>
      <c r="O37" s="119">
        <f t="shared" si="1"/>
        <v>64</v>
      </c>
      <c r="P37" s="120">
        <f t="shared" si="2"/>
        <v>-86.4978902953586</v>
      </c>
      <c r="Q37" s="117"/>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row>
    <row r="38" s="104" customFormat="1" ht="25" customHeight="1" spans="1:40">
      <c r="A38" s="199" t="s">
        <v>1361</v>
      </c>
      <c r="B38" s="205"/>
      <c r="C38" s="199" t="s">
        <v>488</v>
      </c>
      <c r="D38" s="123">
        <v>170060</v>
      </c>
      <c r="E38" s="119">
        <v>8145.94</v>
      </c>
      <c r="F38" s="119">
        <f t="shared" si="0"/>
        <v>178205.94</v>
      </c>
      <c r="G38" s="119">
        <f t="shared" si="3"/>
        <v>-7176</v>
      </c>
      <c r="H38" s="119"/>
      <c r="I38" s="119"/>
      <c r="J38" s="119"/>
      <c r="K38" s="119"/>
      <c r="L38" s="119">
        <f t="shared" ref="L38:L43" si="4">N38-E38</f>
        <v>-7060.03</v>
      </c>
      <c r="M38" s="119">
        <v>162884</v>
      </c>
      <c r="N38" s="119">
        <v>1085.91</v>
      </c>
      <c r="O38" s="119">
        <f t="shared" si="1"/>
        <v>163969.91</v>
      </c>
      <c r="P38" s="120">
        <f t="shared" si="2"/>
        <v>-7.98852720621995</v>
      </c>
      <c r="Q38" s="12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row>
    <row r="39" s="104" customFormat="1" ht="25" customHeight="1" spans="1:40">
      <c r="A39" s="199" t="s">
        <v>1362</v>
      </c>
      <c r="B39" s="205"/>
      <c r="C39" s="199" t="s">
        <v>1363</v>
      </c>
      <c r="D39" s="119">
        <v>170000</v>
      </c>
      <c r="E39" s="119">
        <v>8000</v>
      </c>
      <c r="F39" s="119">
        <f t="shared" ref="F39:F75" si="5">D39+E39</f>
        <v>178000</v>
      </c>
      <c r="G39" s="119">
        <f t="shared" si="3"/>
        <v>-7156</v>
      </c>
      <c r="H39" s="119"/>
      <c r="I39" s="119"/>
      <c r="J39" s="119"/>
      <c r="K39" s="119"/>
      <c r="L39" s="119">
        <f t="shared" si="4"/>
        <v>-7000</v>
      </c>
      <c r="M39" s="119">
        <v>162844</v>
      </c>
      <c r="N39" s="119">
        <v>1000</v>
      </c>
      <c r="O39" s="119">
        <f t="shared" ref="O39:O75" si="6">M39+N39</f>
        <v>163844</v>
      </c>
      <c r="P39" s="120">
        <f t="shared" ref="P39:P76" si="7">IF(F39=0,IF(O39=0,0,100),100*(O39/F39-1))</f>
        <v>-7.95280898876405</v>
      </c>
      <c r="Q39" s="12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row>
    <row r="40" s="104" customFormat="1" ht="25" customHeight="1" spans="1:40">
      <c r="A40" s="199" t="s">
        <v>1364</v>
      </c>
      <c r="B40" s="205"/>
      <c r="C40" s="199" t="s">
        <v>1365</v>
      </c>
      <c r="D40" s="119">
        <v>170000</v>
      </c>
      <c r="E40" s="119">
        <v>8000</v>
      </c>
      <c r="F40" s="119">
        <f t="shared" si="5"/>
        <v>178000</v>
      </c>
      <c r="G40" s="119">
        <f t="shared" si="3"/>
        <v>-7156</v>
      </c>
      <c r="H40" s="119"/>
      <c r="I40" s="119"/>
      <c r="J40" s="119"/>
      <c r="K40" s="119"/>
      <c r="L40" s="119">
        <f t="shared" si="4"/>
        <v>-7000</v>
      </c>
      <c r="M40" s="119">
        <v>162844</v>
      </c>
      <c r="N40" s="119">
        <v>1000</v>
      </c>
      <c r="O40" s="119">
        <f t="shared" si="6"/>
        <v>163844</v>
      </c>
      <c r="P40" s="120">
        <f t="shared" si="7"/>
        <v>-7.95280898876405</v>
      </c>
      <c r="Q40" s="12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row>
    <row r="41" s="104" customFormat="1" ht="25" customHeight="1" spans="1:40">
      <c r="A41" s="199" t="s">
        <v>1366</v>
      </c>
      <c r="B41" s="205"/>
      <c r="C41" s="199" t="s">
        <v>1367</v>
      </c>
      <c r="D41" s="119"/>
      <c r="E41" s="119">
        <v>8.42</v>
      </c>
      <c r="F41" s="119">
        <f t="shared" si="5"/>
        <v>8.42</v>
      </c>
      <c r="G41" s="119"/>
      <c r="H41" s="119"/>
      <c r="I41" s="119"/>
      <c r="J41" s="119"/>
      <c r="K41" s="119"/>
      <c r="L41" s="119">
        <f t="shared" si="4"/>
        <v>-2.98</v>
      </c>
      <c r="M41" s="119"/>
      <c r="N41" s="119">
        <v>5.44</v>
      </c>
      <c r="O41" s="119">
        <f t="shared" si="6"/>
        <v>5.44</v>
      </c>
      <c r="P41" s="120">
        <f t="shared" si="7"/>
        <v>-35.3919239904988</v>
      </c>
      <c r="Q41" s="12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row>
    <row r="42" s="104" customFormat="1" ht="25" customHeight="1" spans="1:40">
      <c r="A42" s="199" t="s">
        <v>1368</v>
      </c>
      <c r="B42" s="205"/>
      <c r="C42" s="199" t="s">
        <v>1369</v>
      </c>
      <c r="D42" s="119"/>
      <c r="E42" s="119">
        <v>8.42</v>
      </c>
      <c r="F42" s="119">
        <f t="shared" si="5"/>
        <v>8.42</v>
      </c>
      <c r="G42" s="119"/>
      <c r="H42" s="119"/>
      <c r="I42" s="119"/>
      <c r="J42" s="119"/>
      <c r="K42" s="119"/>
      <c r="L42" s="119">
        <f t="shared" si="4"/>
        <v>-2.98</v>
      </c>
      <c r="M42" s="119"/>
      <c r="N42" s="119">
        <v>5.44</v>
      </c>
      <c r="O42" s="119">
        <f t="shared" si="6"/>
        <v>5.44</v>
      </c>
      <c r="P42" s="120">
        <f t="shared" si="7"/>
        <v>-35.3919239904988</v>
      </c>
      <c r="Q42" s="12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row>
    <row r="43" s="104" customFormat="1" ht="25" customHeight="1" spans="1:40">
      <c r="A43" s="199" t="s">
        <v>1370</v>
      </c>
      <c r="B43" s="206"/>
      <c r="C43" s="207" t="s">
        <v>1371</v>
      </c>
      <c r="D43" s="123">
        <v>60</v>
      </c>
      <c r="E43" s="119">
        <v>137.52</v>
      </c>
      <c r="F43" s="119">
        <f t="shared" si="5"/>
        <v>197.52</v>
      </c>
      <c r="G43" s="119">
        <f>M43-D43</f>
        <v>-20</v>
      </c>
      <c r="H43" s="119"/>
      <c r="I43" s="119"/>
      <c r="J43" s="119"/>
      <c r="K43" s="119"/>
      <c r="L43" s="119">
        <f t="shared" si="4"/>
        <v>-57.05</v>
      </c>
      <c r="M43" s="119">
        <v>40</v>
      </c>
      <c r="N43" s="119">
        <v>80.47</v>
      </c>
      <c r="O43" s="119">
        <f t="shared" si="6"/>
        <v>120.47</v>
      </c>
      <c r="P43" s="120">
        <f t="shared" si="7"/>
        <v>-39.0087079789389</v>
      </c>
      <c r="Q43" s="117"/>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row>
    <row r="44" s="104" customFormat="1" ht="25" customHeight="1" spans="1:40">
      <c r="A44" s="199" t="s">
        <v>1372</v>
      </c>
      <c r="B44" s="206"/>
      <c r="C44" s="207" t="s">
        <v>1373</v>
      </c>
      <c r="D44" s="203">
        <v>0</v>
      </c>
      <c r="E44" s="203"/>
      <c r="F44" s="119">
        <f t="shared" si="5"/>
        <v>0</v>
      </c>
      <c r="G44" s="119"/>
      <c r="H44" s="119"/>
      <c r="I44" s="119"/>
      <c r="J44" s="119"/>
      <c r="K44" s="119"/>
      <c r="L44" s="119"/>
      <c r="M44" s="119">
        <v>0</v>
      </c>
      <c r="N44" s="119"/>
      <c r="O44" s="119">
        <f t="shared" si="6"/>
        <v>0</v>
      </c>
      <c r="P44" s="120">
        <f t="shared" si="7"/>
        <v>0</v>
      </c>
      <c r="Q44" s="117"/>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row>
    <row r="45" s="104" customFormat="1" ht="25" customHeight="1" spans="1:40">
      <c r="A45" s="199" t="s">
        <v>1374</v>
      </c>
      <c r="B45" s="206"/>
      <c r="C45" s="207" t="s">
        <v>1375</v>
      </c>
      <c r="D45" s="203">
        <v>0</v>
      </c>
      <c r="E45" s="203">
        <v>63</v>
      </c>
      <c r="F45" s="119">
        <f t="shared" si="5"/>
        <v>63</v>
      </c>
      <c r="G45" s="119"/>
      <c r="H45" s="119"/>
      <c r="I45" s="119"/>
      <c r="J45" s="119"/>
      <c r="K45" s="119"/>
      <c r="L45" s="119">
        <f>N45-E45</f>
        <v>-62</v>
      </c>
      <c r="M45" s="119">
        <v>0</v>
      </c>
      <c r="N45" s="119">
        <v>1</v>
      </c>
      <c r="O45" s="119">
        <f t="shared" si="6"/>
        <v>1</v>
      </c>
      <c r="P45" s="120">
        <f t="shared" si="7"/>
        <v>-98.4126984126984</v>
      </c>
      <c r="Q45" s="117"/>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row>
    <row r="46" s="104" customFormat="1" ht="25" customHeight="1" spans="1:40">
      <c r="A46" s="199" t="s">
        <v>1376</v>
      </c>
      <c r="B46" s="206"/>
      <c r="C46" s="207" t="s">
        <v>1377</v>
      </c>
      <c r="D46" s="203">
        <v>0</v>
      </c>
      <c r="E46" s="203"/>
      <c r="F46" s="119">
        <f t="shared" si="5"/>
        <v>0</v>
      </c>
      <c r="G46" s="119"/>
      <c r="H46" s="119"/>
      <c r="I46" s="119"/>
      <c r="J46" s="119"/>
      <c r="K46" s="119"/>
      <c r="L46" s="119"/>
      <c r="M46" s="119">
        <v>0</v>
      </c>
      <c r="N46" s="119"/>
      <c r="O46" s="119">
        <f t="shared" si="6"/>
        <v>0</v>
      </c>
      <c r="P46" s="120">
        <f t="shared" si="7"/>
        <v>0</v>
      </c>
      <c r="Q46" s="117"/>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row>
    <row r="47" s="104" customFormat="1" ht="25" customHeight="1" spans="1:40">
      <c r="A47" s="199" t="s">
        <v>1378</v>
      </c>
      <c r="B47" s="206"/>
      <c r="C47" s="207" t="s">
        <v>1379</v>
      </c>
      <c r="D47" s="203">
        <v>0</v>
      </c>
      <c r="E47" s="203"/>
      <c r="F47" s="119">
        <f t="shared" si="5"/>
        <v>0</v>
      </c>
      <c r="G47" s="119"/>
      <c r="H47" s="119"/>
      <c r="I47" s="119"/>
      <c r="J47" s="119"/>
      <c r="K47" s="119"/>
      <c r="L47" s="119"/>
      <c r="M47" s="119">
        <v>0</v>
      </c>
      <c r="N47" s="119"/>
      <c r="O47" s="119">
        <f t="shared" si="6"/>
        <v>0</v>
      </c>
      <c r="P47" s="120">
        <f t="shared" si="7"/>
        <v>0</v>
      </c>
      <c r="Q47" s="117"/>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row>
    <row r="48" s="104" customFormat="1" ht="25" customHeight="1" spans="1:40">
      <c r="A48" s="199" t="s">
        <v>1380</v>
      </c>
      <c r="B48" s="206"/>
      <c r="C48" s="207" t="s">
        <v>1381</v>
      </c>
      <c r="D48" s="203">
        <v>0</v>
      </c>
      <c r="E48" s="203">
        <v>74.52</v>
      </c>
      <c r="F48" s="119">
        <f t="shared" si="5"/>
        <v>74.52</v>
      </c>
      <c r="G48" s="119"/>
      <c r="H48" s="119"/>
      <c r="I48" s="119"/>
      <c r="J48" s="119"/>
      <c r="K48" s="119"/>
      <c r="L48" s="119">
        <f>N48-E48</f>
        <v>-1.05</v>
      </c>
      <c r="M48" s="119">
        <v>0</v>
      </c>
      <c r="N48" s="119">
        <v>73.47</v>
      </c>
      <c r="O48" s="119">
        <f t="shared" si="6"/>
        <v>73.47</v>
      </c>
      <c r="P48" s="120">
        <f t="shared" si="7"/>
        <v>-1.40901771336553</v>
      </c>
      <c r="Q48" s="117"/>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row>
    <row r="49" s="104" customFormat="1" ht="25" customHeight="1" spans="1:40">
      <c r="A49" s="199" t="s">
        <v>1382</v>
      </c>
      <c r="B49" s="206"/>
      <c r="C49" s="207" t="s">
        <v>1383</v>
      </c>
      <c r="D49" s="203">
        <v>0</v>
      </c>
      <c r="E49" s="203"/>
      <c r="F49" s="119">
        <f t="shared" si="5"/>
        <v>0</v>
      </c>
      <c r="G49" s="119"/>
      <c r="H49" s="119"/>
      <c r="I49" s="119"/>
      <c r="J49" s="119"/>
      <c r="K49" s="119"/>
      <c r="L49" s="119"/>
      <c r="M49" s="119">
        <v>0</v>
      </c>
      <c r="N49" s="119"/>
      <c r="O49" s="119">
        <f t="shared" si="6"/>
        <v>0</v>
      </c>
      <c r="P49" s="120">
        <f t="shared" si="7"/>
        <v>0</v>
      </c>
      <c r="Q49" s="117"/>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row>
    <row r="50" s="104" customFormat="1" ht="25" customHeight="1" spans="1:40">
      <c r="A50" s="199" t="s">
        <v>1384</v>
      </c>
      <c r="B50" s="206"/>
      <c r="C50" s="207" t="s">
        <v>1385</v>
      </c>
      <c r="D50" s="203">
        <v>0</v>
      </c>
      <c r="E50" s="203"/>
      <c r="F50" s="119">
        <f t="shared" si="5"/>
        <v>0</v>
      </c>
      <c r="G50" s="119"/>
      <c r="H50" s="119"/>
      <c r="I50" s="119"/>
      <c r="J50" s="119"/>
      <c r="K50" s="119"/>
      <c r="L50" s="119"/>
      <c r="M50" s="119">
        <v>0</v>
      </c>
      <c r="N50" s="119"/>
      <c r="O50" s="119">
        <f t="shared" si="6"/>
        <v>0</v>
      </c>
      <c r="P50" s="120">
        <f t="shared" si="7"/>
        <v>0</v>
      </c>
      <c r="Q50" s="117"/>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row>
    <row r="51" s="104" customFormat="1" ht="25" customHeight="1" spans="1:40">
      <c r="A51" s="199" t="s">
        <v>1386</v>
      </c>
      <c r="B51" s="206"/>
      <c r="C51" s="207" t="s">
        <v>1387</v>
      </c>
      <c r="D51" s="203">
        <v>0</v>
      </c>
      <c r="E51" s="203"/>
      <c r="F51" s="119">
        <f t="shared" si="5"/>
        <v>0</v>
      </c>
      <c r="G51" s="119"/>
      <c r="H51" s="119"/>
      <c r="I51" s="119"/>
      <c r="J51" s="119"/>
      <c r="K51" s="119"/>
      <c r="L51" s="119"/>
      <c r="M51" s="119">
        <v>0</v>
      </c>
      <c r="N51" s="119"/>
      <c r="O51" s="119">
        <f t="shared" si="6"/>
        <v>0</v>
      </c>
      <c r="P51" s="120">
        <f t="shared" si="7"/>
        <v>0</v>
      </c>
      <c r="Q51" s="117"/>
      <c r="R51" s="102"/>
      <c r="S51" s="102"/>
      <c r="T51" s="102"/>
      <c r="U51" s="102"/>
      <c r="V51" s="102"/>
      <c r="W51" s="102"/>
      <c r="X51" s="102"/>
      <c r="Y51" s="102"/>
      <c r="Z51" s="102"/>
      <c r="AA51" s="102"/>
      <c r="AB51" s="102"/>
      <c r="AC51" s="102"/>
      <c r="AD51" s="102"/>
      <c r="AE51" s="102"/>
      <c r="AF51" s="102"/>
      <c r="AG51" s="102"/>
      <c r="AH51" s="102"/>
      <c r="AI51" s="102"/>
      <c r="AJ51" s="102"/>
      <c r="AK51" s="102"/>
      <c r="AL51" s="102"/>
      <c r="AM51" s="102"/>
      <c r="AN51" s="102"/>
    </row>
    <row r="52" s="104" customFormat="1" ht="25" customHeight="1" spans="1:40">
      <c r="A52" s="199" t="s">
        <v>1388</v>
      </c>
      <c r="B52" s="206"/>
      <c r="C52" s="207" t="s">
        <v>1389</v>
      </c>
      <c r="D52" s="203">
        <v>0</v>
      </c>
      <c r="E52" s="203"/>
      <c r="F52" s="119">
        <f t="shared" si="5"/>
        <v>0</v>
      </c>
      <c r="G52" s="119"/>
      <c r="H52" s="119"/>
      <c r="I52" s="119"/>
      <c r="J52" s="119"/>
      <c r="K52" s="119"/>
      <c r="L52" s="119">
        <f>N52-E52</f>
        <v>6</v>
      </c>
      <c r="M52" s="119">
        <v>0</v>
      </c>
      <c r="N52" s="119">
        <v>6</v>
      </c>
      <c r="O52" s="119">
        <f t="shared" si="6"/>
        <v>6</v>
      </c>
      <c r="P52" s="120">
        <f t="shared" si="7"/>
        <v>100</v>
      </c>
      <c r="Q52" s="117"/>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row>
    <row r="53" s="104" customFormat="1" ht="25" customHeight="1" spans="1:40">
      <c r="A53" s="199" t="s">
        <v>1390</v>
      </c>
      <c r="B53" s="206"/>
      <c r="C53" s="207" t="s">
        <v>1391</v>
      </c>
      <c r="D53" s="123">
        <v>60</v>
      </c>
      <c r="E53" s="203"/>
      <c r="F53" s="119">
        <f t="shared" si="5"/>
        <v>60</v>
      </c>
      <c r="G53" s="119">
        <f>M53-D53</f>
        <v>-20</v>
      </c>
      <c r="H53" s="119"/>
      <c r="I53" s="119"/>
      <c r="J53" s="119"/>
      <c r="K53" s="119"/>
      <c r="L53" s="119"/>
      <c r="M53" s="119">
        <v>40</v>
      </c>
      <c r="N53" s="119"/>
      <c r="O53" s="119">
        <f t="shared" si="6"/>
        <v>40</v>
      </c>
      <c r="P53" s="120">
        <f t="shared" si="7"/>
        <v>-33.3333333333333</v>
      </c>
      <c r="Q53" s="117"/>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row>
    <row r="54" s="101" customFormat="1" ht="25" customHeight="1" spans="1:17">
      <c r="A54" s="199" t="s">
        <v>1392</v>
      </c>
      <c r="B54" s="200"/>
      <c r="C54" s="137" t="s">
        <v>489</v>
      </c>
      <c r="D54" s="119">
        <v>66662.5</v>
      </c>
      <c r="E54" s="119"/>
      <c r="F54" s="119">
        <f t="shared" si="5"/>
        <v>66662.5</v>
      </c>
      <c r="G54" s="119">
        <f>M54-D54</f>
        <v>-53623.5</v>
      </c>
      <c r="H54" s="119"/>
      <c r="I54" s="119"/>
      <c r="J54" s="119"/>
      <c r="K54" s="119"/>
      <c r="L54" s="119"/>
      <c r="M54" s="119">
        <v>13039</v>
      </c>
      <c r="N54" s="119"/>
      <c r="O54" s="119">
        <f t="shared" si="6"/>
        <v>13039</v>
      </c>
      <c r="P54" s="120">
        <f t="shared" si="7"/>
        <v>-80.4402775173448</v>
      </c>
      <c r="Q54" s="117"/>
    </row>
    <row r="55" s="101" customFormat="1" ht="25" customHeight="1" spans="1:17">
      <c r="A55" s="199" t="s">
        <v>1393</v>
      </c>
      <c r="B55" s="200"/>
      <c r="C55" s="416" t="s">
        <v>1394</v>
      </c>
      <c r="D55" s="203">
        <v>0</v>
      </c>
      <c r="E55" s="203"/>
      <c r="F55" s="119">
        <f t="shared" si="5"/>
        <v>0</v>
      </c>
      <c r="G55" s="119"/>
      <c r="H55" s="119"/>
      <c r="I55" s="119"/>
      <c r="J55" s="119"/>
      <c r="K55" s="119"/>
      <c r="L55" s="119"/>
      <c r="M55" s="119">
        <v>0</v>
      </c>
      <c r="N55" s="119"/>
      <c r="O55" s="119">
        <f t="shared" si="6"/>
        <v>0</v>
      </c>
      <c r="P55" s="120">
        <f t="shared" si="7"/>
        <v>0</v>
      </c>
      <c r="Q55" s="117"/>
    </row>
    <row r="56" s="101" customFormat="1" ht="25" customHeight="1" spans="1:19">
      <c r="A56" s="122">
        <v>2300401</v>
      </c>
      <c r="B56" s="122"/>
      <c r="C56" s="137" t="s">
        <v>1395</v>
      </c>
      <c r="D56" s="203">
        <v>0</v>
      </c>
      <c r="E56" s="203"/>
      <c r="F56" s="119">
        <f t="shared" si="5"/>
        <v>0</v>
      </c>
      <c r="G56" s="119"/>
      <c r="H56" s="119"/>
      <c r="I56" s="119"/>
      <c r="J56" s="119"/>
      <c r="K56" s="119"/>
      <c r="L56" s="119"/>
      <c r="M56" s="119">
        <v>0</v>
      </c>
      <c r="N56" s="119"/>
      <c r="O56" s="119">
        <f t="shared" si="6"/>
        <v>0</v>
      </c>
      <c r="P56" s="120">
        <f t="shared" si="7"/>
        <v>0</v>
      </c>
      <c r="Q56" s="117"/>
      <c r="S56" s="102"/>
    </row>
    <row r="57" s="101" customFormat="1" ht="25" customHeight="1" spans="1:19">
      <c r="A57" s="199" t="s">
        <v>1396</v>
      </c>
      <c r="B57" s="200"/>
      <c r="C57" s="416" t="s">
        <v>1397</v>
      </c>
      <c r="D57" s="204">
        <v>66300</v>
      </c>
      <c r="E57" s="203"/>
      <c r="F57" s="119">
        <f t="shared" si="5"/>
        <v>66300</v>
      </c>
      <c r="G57" s="119">
        <f>M57-D57</f>
        <v>-53300</v>
      </c>
      <c r="H57" s="119"/>
      <c r="I57" s="119"/>
      <c r="J57" s="119"/>
      <c r="K57" s="119"/>
      <c r="L57" s="119"/>
      <c r="M57" s="119">
        <v>13000</v>
      </c>
      <c r="N57" s="119"/>
      <c r="O57" s="119">
        <f t="shared" si="6"/>
        <v>13000</v>
      </c>
      <c r="P57" s="120">
        <f t="shared" si="7"/>
        <v>-80.3921568627451</v>
      </c>
      <c r="Q57" s="117"/>
      <c r="S57" s="102"/>
    </row>
    <row r="58" s="101" customFormat="1" ht="25" customHeight="1" spans="1:17">
      <c r="A58" s="199" t="s">
        <v>1398</v>
      </c>
      <c r="B58" s="200"/>
      <c r="C58" s="416" t="s">
        <v>1399</v>
      </c>
      <c r="D58" s="203">
        <v>362.5</v>
      </c>
      <c r="E58" s="203"/>
      <c r="F58" s="119">
        <f t="shared" si="5"/>
        <v>362.5</v>
      </c>
      <c r="G58" s="119">
        <f>M58-D58</f>
        <v>-323.5</v>
      </c>
      <c r="H58" s="119"/>
      <c r="I58" s="119"/>
      <c r="J58" s="119"/>
      <c r="K58" s="119"/>
      <c r="L58" s="119"/>
      <c r="M58" s="119">
        <v>39</v>
      </c>
      <c r="N58" s="119"/>
      <c r="O58" s="119">
        <f t="shared" si="6"/>
        <v>39</v>
      </c>
      <c r="P58" s="120">
        <f t="shared" si="7"/>
        <v>-89.2413793103448</v>
      </c>
      <c r="Q58" s="117"/>
    </row>
    <row r="59" s="101" customFormat="1" ht="25" customHeight="1" spans="1:17">
      <c r="A59" s="199" t="s">
        <v>1400</v>
      </c>
      <c r="B59" s="200"/>
      <c r="C59" s="416" t="s">
        <v>493</v>
      </c>
      <c r="D59" s="204">
        <v>22600</v>
      </c>
      <c r="E59" s="119"/>
      <c r="F59" s="119">
        <f t="shared" si="5"/>
        <v>22600</v>
      </c>
      <c r="G59" s="119"/>
      <c r="H59" s="119"/>
      <c r="I59" s="119"/>
      <c r="J59" s="119"/>
      <c r="K59" s="119"/>
      <c r="L59" s="119"/>
      <c r="M59" s="119">
        <v>22600</v>
      </c>
      <c r="N59" s="119"/>
      <c r="O59" s="119">
        <f t="shared" si="6"/>
        <v>22600</v>
      </c>
      <c r="P59" s="120">
        <f t="shared" si="7"/>
        <v>0</v>
      </c>
      <c r="Q59" s="117"/>
    </row>
    <row r="60" s="101" customFormat="1" ht="25" customHeight="1" spans="1:17">
      <c r="A60" s="199" t="s">
        <v>1401</v>
      </c>
      <c r="B60" s="200"/>
      <c r="C60" s="137" t="s">
        <v>1402</v>
      </c>
      <c r="D60" s="204">
        <v>22600</v>
      </c>
      <c r="E60" s="119"/>
      <c r="F60" s="119">
        <f t="shared" si="5"/>
        <v>22600</v>
      </c>
      <c r="G60" s="119"/>
      <c r="H60" s="119"/>
      <c r="I60" s="119"/>
      <c r="J60" s="119"/>
      <c r="K60" s="119"/>
      <c r="L60" s="119"/>
      <c r="M60" s="119">
        <v>22600</v>
      </c>
      <c r="N60" s="119"/>
      <c r="O60" s="119">
        <f t="shared" si="6"/>
        <v>22600</v>
      </c>
      <c r="P60" s="120">
        <f t="shared" si="7"/>
        <v>0</v>
      </c>
      <c r="Q60" s="117"/>
    </row>
    <row r="61" s="101" customFormat="1" ht="25" customHeight="1" spans="1:17">
      <c r="A61" s="199" t="s">
        <v>1403</v>
      </c>
      <c r="B61" s="200"/>
      <c r="C61" s="137" t="s">
        <v>1404</v>
      </c>
      <c r="D61" s="204">
        <v>22600</v>
      </c>
      <c r="E61" s="119"/>
      <c r="F61" s="119">
        <f t="shared" si="5"/>
        <v>22600</v>
      </c>
      <c r="G61" s="119"/>
      <c r="H61" s="119"/>
      <c r="I61" s="119"/>
      <c r="J61" s="119"/>
      <c r="K61" s="119"/>
      <c r="L61" s="119"/>
      <c r="M61" s="119">
        <v>22600</v>
      </c>
      <c r="N61" s="119"/>
      <c r="O61" s="119">
        <f t="shared" si="6"/>
        <v>22600</v>
      </c>
      <c r="P61" s="120">
        <f t="shared" si="7"/>
        <v>0</v>
      </c>
      <c r="Q61" s="117"/>
    </row>
    <row r="62" s="101" customFormat="1" ht="25" customHeight="1" spans="1:17">
      <c r="A62" s="199" t="s">
        <v>1405</v>
      </c>
      <c r="B62" s="200"/>
      <c r="C62" s="137" t="s">
        <v>496</v>
      </c>
      <c r="D62" s="204">
        <v>11505</v>
      </c>
      <c r="E62" s="119"/>
      <c r="F62" s="119">
        <f t="shared" si="5"/>
        <v>11505</v>
      </c>
      <c r="G62" s="119"/>
      <c r="H62" s="119"/>
      <c r="I62" s="119"/>
      <c r="J62" s="119"/>
      <c r="K62" s="119"/>
      <c r="L62" s="119"/>
      <c r="M62" s="119">
        <v>11505.226</v>
      </c>
      <c r="N62" s="119"/>
      <c r="O62" s="119">
        <f t="shared" si="6"/>
        <v>11505.226</v>
      </c>
      <c r="P62" s="120">
        <f t="shared" si="7"/>
        <v>0.00196436332029482</v>
      </c>
      <c r="Q62" s="117"/>
    </row>
    <row r="63" s="101" customFormat="1" ht="25" customHeight="1" spans="1:17">
      <c r="A63" s="199" t="s">
        <v>1406</v>
      </c>
      <c r="B63" s="200"/>
      <c r="C63" s="137" t="s">
        <v>1407</v>
      </c>
      <c r="D63" s="204">
        <v>11505</v>
      </c>
      <c r="E63" s="119"/>
      <c r="F63" s="119">
        <f t="shared" si="5"/>
        <v>11505</v>
      </c>
      <c r="G63" s="119"/>
      <c r="H63" s="119"/>
      <c r="I63" s="119"/>
      <c r="J63" s="119"/>
      <c r="K63" s="119"/>
      <c r="L63" s="119"/>
      <c r="M63" s="119">
        <v>11505.226</v>
      </c>
      <c r="N63" s="119"/>
      <c r="O63" s="119">
        <f t="shared" si="6"/>
        <v>11505.226</v>
      </c>
      <c r="P63" s="120">
        <f t="shared" si="7"/>
        <v>0.00196436332029482</v>
      </c>
      <c r="Q63" s="117"/>
    </row>
    <row r="64" s="101" customFormat="1" ht="25" customHeight="1" spans="1:17">
      <c r="A64" s="199" t="s">
        <v>1408</v>
      </c>
      <c r="B64" s="200"/>
      <c r="C64" s="137" t="s">
        <v>1409</v>
      </c>
      <c r="D64" s="204">
        <v>3784</v>
      </c>
      <c r="E64" s="203"/>
      <c r="F64" s="119">
        <f t="shared" si="5"/>
        <v>3784</v>
      </c>
      <c r="G64" s="119"/>
      <c r="H64" s="119"/>
      <c r="I64" s="119"/>
      <c r="J64" s="119"/>
      <c r="K64" s="119"/>
      <c r="L64" s="119"/>
      <c r="M64" s="119">
        <v>3784.476</v>
      </c>
      <c r="N64" s="119"/>
      <c r="O64" s="119">
        <f t="shared" si="6"/>
        <v>3784.476</v>
      </c>
      <c r="P64" s="120">
        <f t="shared" si="7"/>
        <v>0.0125792811839442</v>
      </c>
      <c r="Q64" s="117"/>
    </row>
    <row r="65" s="101" customFormat="1" ht="25" customHeight="1" spans="1:17">
      <c r="A65" s="199" t="s">
        <v>1410</v>
      </c>
      <c r="B65" s="200"/>
      <c r="C65" s="137" t="s">
        <v>1411</v>
      </c>
      <c r="D65" s="204">
        <v>1038</v>
      </c>
      <c r="E65" s="203"/>
      <c r="F65" s="119">
        <f t="shared" si="5"/>
        <v>1038</v>
      </c>
      <c r="G65" s="119"/>
      <c r="H65" s="119"/>
      <c r="I65" s="119"/>
      <c r="J65" s="119"/>
      <c r="K65" s="119"/>
      <c r="L65" s="119"/>
      <c r="M65" s="119">
        <v>1037.6</v>
      </c>
      <c r="N65" s="119"/>
      <c r="O65" s="119">
        <f t="shared" si="6"/>
        <v>1037.6</v>
      </c>
      <c r="P65" s="120">
        <f t="shared" si="7"/>
        <v>-0.0385356454720709</v>
      </c>
      <c r="Q65" s="117"/>
    </row>
    <row r="66" s="101" customFormat="1" ht="25" customHeight="1" spans="1:17">
      <c r="A66" s="199" t="s">
        <v>1412</v>
      </c>
      <c r="B66" s="200"/>
      <c r="C66" s="137" t="s">
        <v>1413</v>
      </c>
      <c r="D66" s="204">
        <v>6683</v>
      </c>
      <c r="E66" s="203"/>
      <c r="F66" s="119">
        <f t="shared" si="5"/>
        <v>6683</v>
      </c>
      <c r="G66" s="119"/>
      <c r="H66" s="119"/>
      <c r="I66" s="119"/>
      <c r="J66" s="119"/>
      <c r="K66" s="119"/>
      <c r="L66" s="119"/>
      <c r="M66" s="119">
        <v>6683.15</v>
      </c>
      <c r="N66" s="119"/>
      <c r="O66" s="119">
        <f t="shared" si="6"/>
        <v>6683.15</v>
      </c>
      <c r="P66" s="120">
        <f t="shared" si="7"/>
        <v>0.00224450097261464</v>
      </c>
      <c r="Q66" s="117"/>
    </row>
    <row r="67" s="101" customFormat="1" ht="25" customHeight="1" spans="1:17">
      <c r="A67" s="199" t="s">
        <v>1414</v>
      </c>
      <c r="B67" s="200"/>
      <c r="C67" s="137" t="s">
        <v>499</v>
      </c>
      <c r="D67" s="119">
        <v>122</v>
      </c>
      <c r="E67" s="119"/>
      <c r="F67" s="119">
        <f t="shared" si="5"/>
        <v>122</v>
      </c>
      <c r="G67" s="119">
        <f>M67-D67</f>
        <v>29.9</v>
      </c>
      <c r="H67" s="119"/>
      <c r="I67" s="119"/>
      <c r="J67" s="119"/>
      <c r="K67" s="119"/>
      <c r="L67" s="119"/>
      <c r="M67" s="119">
        <v>151.9</v>
      </c>
      <c r="N67" s="119"/>
      <c r="O67" s="119">
        <f t="shared" si="6"/>
        <v>151.9</v>
      </c>
      <c r="P67" s="120">
        <f t="shared" si="7"/>
        <v>24.5081967213115</v>
      </c>
      <c r="Q67" s="117"/>
    </row>
    <row r="68" s="101" customFormat="1" ht="25" customHeight="1" spans="1:17">
      <c r="A68" s="199" t="s">
        <v>1415</v>
      </c>
      <c r="B68" s="200"/>
      <c r="C68" s="137" t="s">
        <v>1416</v>
      </c>
      <c r="D68" s="119">
        <v>122</v>
      </c>
      <c r="E68" s="119"/>
      <c r="F68" s="119">
        <f t="shared" si="5"/>
        <v>122</v>
      </c>
      <c r="G68" s="119">
        <f>M68-D68</f>
        <v>29.9</v>
      </c>
      <c r="H68" s="119"/>
      <c r="I68" s="119"/>
      <c r="J68" s="119"/>
      <c r="K68" s="119"/>
      <c r="L68" s="119"/>
      <c r="M68" s="119">
        <v>151.9</v>
      </c>
      <c r="N68" s="119"/>
      <c r="O68" s="119">
        <f t="shared" si="6"/>
        <v>151.9</v>
      </c>
      <c r="P68" s="120">
        <f t="shared" si="7"/>
        <v>24.5081967213115</v>
      </c>
      <c r="Q68" s="117"/>
    </row>
    <row r="69" s="101" customFormat="1" ht="25" customHeight="1" spans="1:17">
      <c r="A69" s="199" t="s">
        <v>1417</v>
      </c>
      <c r="B69" s="200"/>
      <c r="C69" s="137" t="s">
        <v>1418</v>
      </c>
      <c r="D69" s="203">
        <v>12.4</v>
      </c>
      <c r="E69" s="203"/>
      <c r="F69" s="119">
        <f t="shared" si="5"/>
        <v>12.4</v>
      </c>
      <c r="G69" s="119"/>
      <c r="H69" s="119"/>
      <c r="I69" s="119"/>
      <c r="J69" s="119"/>
      <c r="K69" s="119"/>
      <c r="L69" s="119"/>
      <c r="M69" s="119">
        <v>12.4</v>
      </c>
      <c r="N69" s="119"/>
      <c r="O69" s="119">
        <f t="shared" si="6"/>
        <v>12.4</v>
      </c>
      <c r="P69" s="120">
        <f t="shared" si="7"/>
        <v>0</v>
      </c>
      <c r="Q69" s="117"/>
    </row>
    <row r="70" s="101" customFormat="1" ht="25" customHeight="1" spans="1:17">
      <c r="A70" s="199" t="s">
        <v>1419</v>
      </c>
      <c r="B70" s="200"/>
      <c r="C70" s="137" t="s">
        <v>1420</v>
      </c>
      <c r="D70" s="119">
        <v>0.1</v>
      </c>
      <c r="E70" s="119"/>
      <c r="F70" s="119">
        <f t="shared" si="5"/>
        <v>0.1</v>
      </c>
      <c r="G70" s="119"/>
      <c r="H70" s="119"/>
      <c r="I70" s="119"/>
      <c r="J70" s="119"/>
      <c r="K70" s="119"/>
      <c r="L70" s="119"/>
      <c r="M70" s="119">
        <v>0.1</v>
      </c>
      <c r="N70" s="119"/>
      <c r="O70" s="119">
        <f t="shared" si="6"/>
        <v>0.1</v>
      </c>
      <c r="P70" s="120">
        <f t="shared" si="7"/>
        <v>0</v>
      </c>
      <c r="Q70" s="117"/>
    </row>
    <row r="71" s="101" customFormat="1" ht="25" customHeight="1" spans="1:17">
      <c r="A71" s="199" t="s">
        <v>1421</v>
      </c>
      <c r="B71" s="200"/>
      <c r="C71" s="137" t="s">
        <v>1422</v>
      </c>
      <c r="D71" s="123">
        <v>109.7</v>
      </c>
      <c r="E71" s="203"/>
      <c r="F71" s="119">
        <f t="shared" si="5"/>
        <v>109.7</v>
      </c>
      <c r="G71" s="119">
        <f>M71-D71</f>
        <v>29.8</v>
      </c>
      <c r="H71" s="119"/>
      <c r="I71" s="119"/>
      <c r="J71" s="119"/>
      <c r="K71" s="119"/>
      <c r="L71" s="119"/>
      <c r="M71" s="119">
        <v>139.5</v>
      </c>
      <c r="N71" s="119"/>
      <c r="O71" s="119">
        <f t="shared" si="6"/>
        <v>139.5</v>
      </c>
      <c r="P71" s="120">
        <f t="shared" si="7"/>
        <v>27.1649954421149</v>
      </c>
      <c r="Q71" s="117"/>
    </row>
    <row r="72" s="101" customFormat="1" ht="25" customHeight="1" spans="1:17">
      <c r="A72" s="199" t="s">
        <v>1423</v>
      </c>
      <c r="B72" s="200"/>
      <c r="C72" s="137" t="s">
        <v>1424</v>
      </c>
      <c r="D72" s="203"/>
      <c r="E72" s="203"/>
      <c r="F72" s="119">
        <f t="shared" si="5"/>
        <v>0</v>
      </c>
      <c r="G72" s="119"/>
      <c r="H72" s="119"/>
      <c r="I72" s="119"/>
      <c r="J72" s="119"/>
      <c r="K72" s="119"/>
      <c r="L72" s="119"/>
      <c r="M72" s="119"/>
      <c r="N72" s="119">
        <v>0</v>
      </c>
      <c r="O72" s="119">
        <f t="shared" si="6"/>
        <v>0</v>
      </c>
      <c r="P72" s="120">
        <f t="shared" si="7"/>
        <v>0</v>
      </c>
      <c r="Q72" s="117"/>
    </row>
    <row r="73" s="101" customFormat="1" ht="25" customHeight="1" spans="1:17">
      <c r="A73" s="199" t="s">
        <v>1425</v>
      </c>
      <c r="B73" s="200"/>
      <c r="C73" s="137" t="s">
        <v>1426</v>
      </c>
      <c r="D73" s="203"/>
      <c r="E73" s="203">
        <v>0</v>
      </c>
      <c r="F73" s="119">
        <f t="shared" si="5"/>
        <v>0</v>
      </c>
      <c r="G73" s="119"/>
      <c r="H73" s="119"/>
      <c r="I73" s="119"/>
      <c r="J73" s="119"/>
      <c r="K73" s="119"/>
      <c r="L73" s="119"/>
      <c r="M73" s="119"/>
      <c r="N73" s="119">
        <v>0</v>
      </c>
      <c r="O73" s="119">
        <f t="shared" si="6"/>
        <v>0</v>
      </c>
      <c r="P73" s="120">
        <f t="shared" si="7"/>
        <v>0</v>
      </c>
      <c r="Q73" s="117"/>
    </row>
    <row r="74" s="101" customFormat="1" ht="25" customHeight="1" spans="1:17">
      <c r="A74" s="199" t="s">
        <v>1427</v>
      </c>
      <c r="B74" s="200"/>
      <c r="C74" s="137" t="s">
        <v>1428</v>
      </c>
      <c r="D74" s="203"/>
      <c r="E74" s="203"/>
      <c r="F74" s="119">
        <f t="shared" si="5"/>
        <v>0</v>
      </c>
      <c r="G74" s="119"/>
      <c r="H74" s="119"/>
      <c r="I74" s="119"/>
      <c r="J74" s="119"/>
      <c r="K74" s="119"/>
      <c r="L74" s="119"/>
      <c r="M74" s="119"/>
      <c r="N74" s="119"/>
      <c r="O74" s="119">
        <f t="shared" si="6"/>
        <v>0</v>
      </c>
      <c r="P74" s="120">
        <f t="shared" si="7"/>
        <v>0</v>
      </c>
      <c r="Q74" s="117"/>
    </row>
    <row r="75" s="101" customFormat="1" ht="25" customHeight="1" spans="1:17">
      <c r="A75" s="199" t="s">
        <v>1429</v>
      </c>
      <c r="B75" s="200"/>
      <c r="C75" s="137" t="s">
        <v>1430</v>
      </c>
      <c r="D75" s="203"/>
      <c r="E75" s="203"/>
      <c r="F75" s="119">
        <f t="shared" si="5"/>
        <v>0</v>
      </c>
      <c r="G75" s="119"/>
      <c r="H75" s="119"/>
      <c r="I75" s="119"/>
      <c r="J75" s="119"/>
      <c r="K75" s="119"/>
      <c r="L75" s="119"/>
      <c r="M75" s="119"/>
      <c r="N75" s="119"/>
      <c r="O75" s="119">
        <f t="shared" si="6"/>
        <v>0</v>
      </c>
      <c r="P75" s="120">
        <f t="shared" si="7"/>
        <v>0</v>
      </c>
      <c r="Q75" s="117"/>
    </row>
    <row r="76" s="101" customFormat="1" ht="25" customHeight="1" spans="1:17">
      <c r="A76" s="205"/>
      <c r="B76" s="200"/>
      <c r="C76" s="205" t="s">
        <v>1431</v>
      </c>
      <c r="D76" s="119">
        <f>+D6+D8+D38+D54+D59+D67+D72+D62-0.2</f>
        <v>441516.3</v>
      </c>
      <c r="E76" s="119">
        <f t="shared" ref="E76:O76" si="8">+E6+E8+E38+E54+E59+E67+E72+E62</f>
        <v>16042.43</v>
      </c>
      <c r="F76" s="119">
        <f>+F6+F8+F38+F54+F59+F67+F72+F62-0.2</f>
        <v>457558.73</v>
      </c>
      <c r="G76" s="119">
        <f t="shared" si="8"/>
        <v>-176636.93</v>
      </c>
      <c r="H76" s="119">
        <f t="shared" si="8"/>
        <v>0</v>
      </c>
      <c r="I76" s="119">
        <f t="shared" si="8"/>
        <v>0</v>
      </c>
      <c r="J76" s="119">
        <f t="shared" si="8"/>
        <v>0</v>
      </c>
      <c r="K76" s="119">
        <f t="shared" si="8"/>
        <v>0</v>
      </c>
      <c r="L76" s="119">
        <f t="shared" si="8"/>
        <v>-9703.23</v>
      </c>
      <c r="M76" s="119">
        <f t="shared" si="8"/>
        <v>264879.796</v>
      </c>
      <c r="N76" s="119">
        <f t="shared" si="8"/>
        <v>6339.2</v>
      </c>
      <c r="O76" s="119">
        <f t="shared" si="8"/>
        <v>271218.996</v>
      </c>
      <c r="P76" s="120">
        <f t="shared" si="7"/>
        <v>-40.7247685996506</v>
      </c>
      <c r="Q76" s="117"/>
    </row>
    <row r="77" s="101" customFormat="1" customHeight="1" spans="1:16">
      <c r="A77" s="190"/>
      <c r="B77" s="191"/>
      <c r="C77" s="104"/>
      <c r="P77" s="129"/>
    </row>
    <row r="78" s="101" customFormat="1" customHeight="1" spans="1:16">
      <c r="A78" s="190"/>
      <c r="B78" s="191"/>
      <c r="C78" s="104"/>
      <c r="P78" s="129"/>
    </row>
    <row r="79" s="101" customFormat="1" customHeight="1" spans="1:16">
      <c r="A79" s="190"/>
      <c r="B79" s="191"/>
      <c r="C79" s="104"/>
      <c r="P79" s="129"/>
    </row>
    <row r="80" s="101" customFormat="1" customHeight="1" spans="1:16">
      <c r="A80" s="190"/>
      <c r="B80" s="191"/>
      <c r="C80" s="104"/>
      <c r="G80" s="211"/>
      <c r="P80" s="129"/>
    </row>
    <row r="81" s="101" customFormat="1" customHeight="1" spans="1:16">
      <c r="A81" s="190"/>
      <c r="B81" s="191"/>
      <c r="C81" s="104"/>
      <c r="P81" s="129"/>
    </row>
    <row r="82" s="101" customFormat="1" customHeight="1" spans="1:16">
      <c r="A82" s="190"/>
      <c r="B82" s="191"/>
      <c r="C82" s="104"/>
      <c r="P82" s="129"/>
    </row>
  </sheetData>
  <mergeCells count="9">
    <mergeCell ref="A2:Q2"/>
    <mergeCell ref="D4:F4"/>
    <mergeCell ref="G4:L4"/>
    <mergeCell ref="M4:O4"/>
    <mergeCell ref="A4:A5"/>
    <mergeCell ref="B4:B5"/>
    <mergeCell ref="C4:C5"/>
    <mergeCell ref="P4:P5"/>
    <mergeCell ref="Q4:Q5"/>
  </mergeCells>
  <printOptions horizontalCentered="1"/>
  <pageMargins left="0.786805555555556" right="0.786805555555556" top="0.393055555555556" bottom="0.393055555555556" header="0.196527777777778" footer="0.196527777777778"/>
  <pageSetup paperSize="9" scale="63" fitToHeight="0" orientation="landscape" horizontalDpi="600"/>
  <headerFooter>
    <oddFooter>&amp;C第 &amp;P 页，共 &amp;N 页</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5"/>
  <sheetViews>
    <sheetView view="pageBreakPreview" zoomScaleNormal="100" topLeftCell="A214" workbookViewId="0">
      <selection activeCell="D3" sqref="D3"/>
    </sheetView>
  </sheetViews>
  <sheetFormatPr defaultColWidth="9" defaultRowHeight="30" customHeight="1" outlineLevelCol="7"/>
  <cols>
    <col min="1" max="1" width="8.625" style="175" customWidth="1"/>
    <col min="2" max="2" width="8.625" style="175" hidden="1" customWidth="1"/>
    <col min="3" max="3" width="20.625" style="175" customWidth="1"/>
    <col min="4" max="4" width="60.625" style="175" customWidth="1"/>
    <col min="5" max="7" width="15.625" style="175" customWidth="1"/>
    <col min="8" max="8" width="50.625" style="175" customWidth="1"/>
    <col min="9" max="16384" width="9" style="175"/>
  </cols>
  <sheetData>
    <row r="1" ht="20" customHeight="1" spans="1:1">
      <c r="A1" s="176" t="s">
        <v>1432</v>
      </c>
    </row>
    <row r="2" customHeight="1" spans="1:8">
      <c r="A2" s="177" t="s">
        <v>1433</v>
      </c>
      <c r="B2" s="177"/>
      <c r="C2" s="177"/>
      <c r="D2" s="177"/>
      <c r="E2" s="177"/>
      <c r="F2" s="177"/>
      <c r="G2" s="177"/>
      <c r="H2" s="177"/>
    </row>
    <row r="3" ht="20" customHeight="1" spans="8:8">
      <c r="H3" s="178" t="s">
        <v>5</v>
      </c>
    </row>
    <row r="4" s="174" customFormat="1" ht="50" customHeight="1" spans="1:8">
      <c r="A4" s="13" t="s">
        <v>503</v>
      </c>
      <c r="B4" s="13" t="s">
        <v>1434</v>
      </c>
      <c r="C4" s="13" t="s">
        <v>505</v>
      </c>
      <c r="D4" s="13" t="s">
        <v>506</v>
      </c>
      <c r="E4" s="13" t="s">
        <v>1435</v>
      </c>
      <c r="F4" s="13" t="s">
        <v>9</v>
      </c>
      <c r="G4" s="13" t="s">
        <v>1269</v>
      </c>
      <c r="H4" s="13" t="s">
        <v>11</v>
      </c>
    </row>
    <row r="5" customHeight="1" spans="1:8">
      <c r="A5" s="179" t="s">
        <v>1436</v>
      </c>
      <c r="B5" s="179"/>
      <c r="C5" s="179">
        <v>1</v>
      </c>
      <c r="D5" s="179">
        <v>2</v>
      </c>
      <c r="E5" s="179">
        <v>3</v>
      </c>
      <c r="F5" s="179">
        <v>4</v>
      </c>
      <c r="G5" s="179">
        <v>5</v>
      </c>
      <c r="H5" s="179">
        <v>6</v>
      </c>
    </row>
    <row r="6" customHeight="1" spans="1:8">
      <c r="A6" s="179">
        <v>1</v>
      </c>
      <c r="B6" s="179" t="s">
        <v>1437</v>
      </c>
      <c r="C6" s="137" t="s">
        <v>1438</v>
      </c>
      <c r="D6" s="137" t="s">
        <v>1439</v>
      </c>
      <c r="E6" s="120">
        <v>26700</v>
      </c>
      <c r="F6" s="120">
        <v>0</v>
      </c>
      <c r="G6" s="120">
        <f t="shared" ref="G6:G69" si="0">F6-E6</f>
        <v>-26700</v>
      </c>
      <c r="H6" s="180" t="s">
        <v>1440</v>
      </c>
    </row>
    <row r="7" customHeight="1" spans="1:8">
      <c r="A7" s="179">
        <v>2</v>
      </c>
      <c r="B7" s="179" t="s">
        <v>1437</v>
      </c>
      <c r="C7" s="137" t="s">
        <v>1438</v>
      </c>
      <c r="D7" s="137" t="s">
        <v>1441</v>
      </c>
      <c r="E7" s="120">
        <v>13000</v>
      </c>
      <c r="F7" s="120">
        <v>0</v>
      </c>
      <c r="G7" s="120">
        <f t="shared" si="0"/>
        <v>-13000</v>
      </c>
      <c r="H7" s="181"/>
    </row>
    <row r="8" customHeight="1" spans="1:8">
      <c r="A8" s="182" t="s">
        <v>1281</v>
      </c>
      <c r="B8" s="183"/>
      <c r="C8" s="183"/>
      <c r="D8" s="184"/>
      <c r="E8" s="185">
        <f>SUM(E6:E7)</f>
        <v>39700</v>
      </c>
      <c r="F8" s="185">
        <f>SUM(F6:F7)</f>
        <v>0</v>
      </c>
      <c r="G8" s="185">
        <f t="shared" si="0"/>
        <v>-39700</v>
      </c>
      <c r="H8" s="186"/>
    </row>
    <row r="9" customHeight="1" spans="1:8">
      <c r="A9" s="179">
        <v>3</v>
      </c>
      <c r="B9" s="179" t="s">
        <v>1437</v>
      </c>
      <c r="C9" s="137" t="s">
        <v>1438</v>
      </c>
      <c r="D9" s="137" t="s">
        <v>1442</v>
      </c>
      <c r="E9" s="120">
        <v>237.8</v>
      </c>
      <c r="F9" s="120">
        <v>19</v>
      </c>
      <c r="G9" s="120">
        <f t="shared" si="0"/>
        <v>-218.8</v>
      </c>
      <c r="H9" s="137"/>
    </row>
    <row r="10" customHeight="1" spans="1:8">
      <c r="A10" s="179">
        <v>4</v>
      </c>
      <c r="B10" s="179" t="s">
        <v>1437</v>
      </c>
      <c r="C10" s="137" t="s">
        <v>1438</v>
      </c>
      <c r="D10" s="137" t="s">
        <v>1443</v>
      </c>
      <c r="E10" s="120">
        <v>10.67</v>
      </c>
      <c r="F10" s="120">
        <v>0</v>
      </c>
      <c r="G10" s="120">
        <f t="shared" si="0"/>
        <v>-10.67</v>
      </c>
      <c r="H10" s="137"/>
    </row>
    <row r="11" customHeight="1" spans="1:8">
      <c r="A11" s="179">
        <v>5</v>
      </c>
      <c r="B11" s="179" t="s">
        <v>1437</v>
      </c>
      <c r="C11" s="137" t="s">
        <v>1438</v>
      </c>
      <c r="D11" s="137" t="s">
        <v>1444</v>
      </c>
      <c r="E11" s="120">
        <v>57.17</v>
      </c>
      <c r="F11" s="120">
        <v>0</v>
      </c>
      <c r="G11" s="120">
        <f t="shared" si="0"/>
        <v>-57.17</v>
      </c>
      <c r="H11" s="137"/>
    </row>
    <row r="12" customHeight="1" spans="1:8">
      <c r="A12" s="179">
        <v>6</v>
      </c>
      <c r="B12" s="179" t="s">
        <v>1437</v>
      </c>
      <c r="C12" s="137" t="s">
        <v>1438</v>
      </c>
      <c r="D12" s="137" t="s">
        <v>1445</v>
      </c>
      <c r="E12" s="120">
        <v>51.9</v>
      </c>
      <c r="F12" s="120">
        <v>9.9</v>
      </c>
      <c r="G12" s="120">
        <f t="shared" si="0"/>
        <v>-42</v>
      </c>
      <c r="H12" s="137"/>
    </row>
    <row r="13" customHeight="1" spans="1:8">
      <c r="A13" s="179">
        <v>7</v>
      </c>
      <c r="B13" s="179" t="s">
        <v>1437</v>
      </c>
      <c r="C13" s="137" t="s">
        <v>1438</v>
      </c>
      <c r="D13" s="137" t="s">
        <v>1446</v>
      </c>
      <c r="E13" s="120">
        <v>61</v>
      </c>
      <c r="F13" s="120">
        <v>50.267274</v>
      </c>
      <c r="G13" s="120">
        <f t="shared" si="0"/>
        <v>-10.732726</v>
      </c>
      <c r="H13" s="137"/>
    </row>
    <row r="14" customHeight="1" spans="1:8">
      <c r="A14" s="179">
        <v>8</v>
      </c>
      <c r="B14" s="179" t="s">
        <v>1437</v>
      </c>
      <c r="C14" s="137" t="s">
        <v>1438</v>
      </c>
      <c r="D14" s="137" t="s">
        <v>1447</v>
      </c>
      <c r="E14" s="120">
        <v>2000</v>
      </c>
      <c r="F14" s="120">
        <v>776.25</v>
      </c>
      <c r="G14" s="120">
        <f t="shared" si="0"/>
        <v>-1223.75</v>
      </c>
      <c r="H14" s="137"/>
    </row>
    <row r="15" customHeight="1" spans="1:8">
      <c r="A15" s="179">
        <v>9</v>
      </c>
      <c r="B15" s="179" t="s">
        <v>1437</v>
      </c>
      <c r="C15" s="137" t="s">
        <v>1438</v>
      </c>
      <c r="D15" s="137" t="s">
        <v>1448</v>
      </c>
      <c r="E15" s="120">
        <v>200</v>
      </c>
      <c r="F15" s="120">
        <v>0</v>
      </c>
      <c r="G15" s="120">
        <f t="shared" si="0"/>
        <v>-200</v>
      </c>
      <c r="H15" s="137"/>
    </row>
    <row r="16" customHeight="1" spans="1:8">
      <c r="A16" s="179">
        <v>10</v>
      </c>
      <c r="B16" s="179" t="s">
        <v>1437</v>
      </c>
      <c r="C16" s="137" t="s">
        <v>1438</v>
      </c>
      <c r="D16" s="137" t="s">
        <v>1449</v>
      </c>
      <c r="E16" s="120">
        <v>500</v>
      </c>
      <c r="F16" s="120">
        <v>115.07</v>
      </c>
      <c r="G16" s="120">
        <f t="shared" si="0"/>
        <v>-384.93</v>
      </c>
      <c r="H16" s="137"/>
    </row>
    <row r="17" customHeight="1" spans="1:8">
      <c r="A17" s="179">
        <v>11</v>
      </c>
      <c r="B17" s="179" t="s">
        <v>1437</v>
      </c>
      <c r="C17" s="137" t="s">
        <v>1438</v>
      </c>
      <c r="D17" s="137" t="s">
        <v>1450</v>
      </c>
      <c r="E17" s="120">
        <v>500</v>
      </c>
      <c r="F17" s="120">
        <v>0</v>
      </c>
      <c r="G17" s="120">
        <f t="shared" si="0"/>
        <v>-500</v>
      </c>
      <c r="H17" s="137"/>
    </row>
    <row r="18" customHeight="1" spans="1:8">
      <c r="A18" s="179">
        <v>12</v>
      </c>
      <c r="B18" s="179" t="s">
        <v>1437</v>
      </c>
      <c r="C18" s="137" t="s">
        <v>1438</v>
      </c>
      <c r="D18" s="137" t="s">
        <v>1451</v>
      </c>
      <c r="E18" s="120">
        <v>2534</v>
      </c>
      <c r="F18" s="120">
        <v>0</v>
      </c>
      <c r="G18" s="120">
        <f t="shared" si="0"/>
        <v>-2534</v>
      </c>
      <c r="H18" s="137"/>
    </row>
    <row r="19" customHeight="1" spans="1:8">
      <c r="A19" s="179">
        <v>13</v>
      </c>
      <c r="B19" s="179" t="s">
        <v>1437</v>
      </c>
      <c r="C19" s="137" t="s">
        <v>1438</v>
      </c>
      <c r="D19" s="137" t="s">
        <v>1452</v>
      </c>
      <c r="E19" s="120">
        <v>1900</v>
      </c>
      <c r="F19" s="120">
        <v>1895.7475</v>
      </c>
      <c r="G19" s="120">
        <f t="shared" si="0"/>
        <v>-4.25250000000005</v>
      </c>
      <c r="H19" s="137"/>
    </row>
    <row r="20" customHeight="1" spans="1:8">
      <c r="A20" s="179">
        <v>14</v>
      </c>
      <c r="B20" s="179" t="s">
        <v>1437</v>
      </c>
      <c r="C20" s="137" t="s">
        <v>1438</v>
      </c>
      <c r="D20" s="137" t="s">
        <v>1453</v>
      </c>
      <c r="E20" s="120">
        <v>788.8</v>
      </c>
      <c r="F20" s="120">
        <v>640</v>
      </c>
      <c r="G20" s="120">
        <f t="shared" si="0"/>
        <v>-148.8</v>
      </c>
      <c r="H20" s="137"/>
    </row>
    <row r="21" customHeight="1" spans="1:8">
      <c r="A21" s="179">
        <v>15</v>
      </c>
      <c r="B21" s="179" t="s">
        <v>1437</v>
      </c>
      <c r="C21" s="137" t="s">
        <v>1438</v>
      </c>
      <c r="D21" s="137" t="s">
        <v>1454</v>
      </c>
      <c r="E21" s="120">
        <v>29.43</v>
      </c>
      <c r="F21" s="120">
        <v>8</v>
      </c>
      <c r="G21" s="120">
        <f t="shared" si="0"/>
        <v>-21.43</v>
      </c>
      <c r="H21" s="137"/>
    </row>
    <row r="22" customHeight="1" spans="1:8">
      <c r="A22" s="179">
        <v>16</v>
      </c>
      <c r="B22" s="179" t="s">
        <v>1437</v>
      </c>
      <c r="C22" s="137" t="s">
        <v>1438</v>
      </c>
      <c r="D22" s="137" t="s">
        <v>1455</v>
      </c>
      <c r="E22" s="120">
        <v>662.17</v>
      </c>
      <c r="F22" s="120">
        <v>157.22</v>
      </c>
      <c r="G22" s="120">
        <f t="shared" si="0"/>
        <v>-504.95</v>
      </c>
      <c r="H22" s="137"/>
    </row>
    <row r="23" customHeight="1" spans="1:8">
      <c r="A23" s="179">
        <v>17</v>
      </c>
      <c r="B23" s="179" t="s">
        <v>1437</v>
      </c>
      <c r="C23" s="137" t="s">
        <v>1438</v>
      </c>
      <c r="D23" s="137" t="s">
        <v>1456</v>
      </c>
      <c r="E23" s="120">
        <v>23.44</v>
      </c>
      <c r="F23" s="120">
        <v>23.44</v>
      </c>
      <c r="G23" s="120">
        <f t="shared" si="0"/>
        <v>0</v>
      </c>
      <c r="H23" s="137"/>
    </row>
    <row r="24" customHeight="1" spans="1:8">
      <c r="A24" s="179">
        <v>18</v>
      </c>
      <c r="B24" s="179" t="s">
        <v>1437</v>
      </c>
      <c r="C24" s="137" t="s">
        <v>1438</v>
      </c>
      <c r="D24" s="137" t="s">
        <v>1457</v>
      </c>
      <c r="E24" s="120">
        <v>25</v>
      </c>
      <c r="F24" s="120">
        <v>24.776928</v>
      </c>
      <c r="G24" s="120">
        <f t="shared" si="0"/>
        <v>-0.223071999999998</v>
      </c>
      <c r="H24" s="137"/>
    </row>
    <row r="25" customHeight="1" spans="1:8">
      <c r="A25" s="179">
        <v>19</v>
      </c>
      <c r="B25" s="179" t="s">
        <v>1437</v>
      </c>
      <c r="C25" s="137" t="s">
        <v>1438</v>
      </c>
      <c r="D25" s="137" t="s">
        <v>1458</v>
      </c>
      <c r="E25" s="120">
        <v>13.3736</v>
      </c>
      <c r="F25" s="120">
        <v>0</v>
      </c>
      <c r="G25" s="120">
        <f t="shared" si="0"/>
        <v>-13.3736</v>
      </c>
      <c r="H25" s="137"/>
    </row>
    <row r="26" customHeight="1" spans="1:8">
      <c r="A26" s="179">
        <v>20</v>
      </c>
      <c r="B26" s="179" t="s">
        <v>1437</v>
      </c>
      <c r="C26" s="137" t="s">
        <v>1438</v>
      </c>
      <c r="D26" s="137" t="s">
        <v>1459</v>
      </c>
      <c r="E26" s="120">
        <v>100</v>
      </c>
      <c r="F26" s="120">
        <v>55</v>
      </c>
      <c r="G26" s="120">
        <f t="shared" si="0"/>
        <v>-45</v>
      </c>
      <c r="H26" s="137"/>
    </row>
    <row r="27" customHeight="1" spans="1:8">
      <c r="A27" s="179">
        <v>21</v>
      </c>
      <c r="B27" s="179" t="s">
        <v>1437</v>
      </c>
      <c r="C27" s="137" t="s">
        <v>1052</v>
      </c>
      <c r="D27" s="137" t="s">
        <v>1460</v>
      </c>
      <c r="E27" s="120">
        <v>89</v>
      </c>
      <c r="F27" s="120">
        <v>75</v>
      </c>
      <c r="G27" s="120">
        <f t="shared" si="0"/>
        <v>-14</v>
      </c>
      <c r="H27" s="137"/>
    </row>
    <row r="28" customHeight="1" spans="1:8">
      <c r="A28" s="179">
        <v>22</v>
      </c>
      <c r="B28" s="179" t="s">
        <v>1437</v>
      </c>
      <c r="C28" s="137" t="s">
        <v>573</v>
      </c>
      <c r="D28" s="137" t="s">
        <v>1461</v>
      </c>
      <c r="E28" s="120">
        <v>13</v>
      </c>
      <c r="F28" s="120">
        <v>12.603252</v>
      </c>
      <c r="G28" s="120">
        <f t="shared" si="0"/>
        <v>-0.396748000000001</v>
      </c>
      <c r="H28" s="137" t="s">
        <v>1462</v>
      </c>
    </row>
    <row r="29" customHeight="1" spans="1:8">
      <c r="A29" s="179">
        <v>23</v>
      </c>
      <c r="B29" s="179" t="s">
        <v>1437</v>
      </c>
      <c r="C29" s="137" t="s">
        <v>1463</v>
      </c>
      <c r="D29" s="137" t="s">
        <v>1464</v>
      </c>
      <c r="E29" s="120">
        <v>200</v>
      </c>
      <c r="F29" s="120">
        <v>0</v>
      </c>
      <c r="G29" s="120">
        <f t="shared" si="0"/>
        <v>-200</v>
      </c>
      <c r="H29" s="137"/>
    </row>
    <row r="30" customHeight="1" spans="1:8">
      <c r="A30" s="179">
        <v>24</v>
      </c>
      <c r="B30" s="179" t="s">
        <v>1437</v>
      </c>
      <c r="C30" s="137" t="s">
        <v>573</v>
      </c>
      <c r="D30" s="137" t="s">
        <v>1465</v>
      </c>
      <c r="E30" s="120">
        <v>200</v>
      </c>
      <c r="F30" s="120">
        <v>0</v>
      </c>
      <c r="G30" s="120">
        <f t="shared" si="0"/>
        <v>-200</v>
      </c>
      <c r="H30" s="137"/>
    </row>
    <row r="31" customHeight="1" spans="1:8">
      <c r="A31" s="179">
        <v>25</v>
      </c>
      <c r="B31" s="179" t="s">
        <v>1437</v>
      </c>
      <c r="C31" s="137" t="s">
        <v>1466</v>
      </c>
      <c r="D31" s="137" t="s">
        <v>1467</v>
      </c>
      <c r="E31" s="120">
        <v>200</v>
      </c>
      <c r="F31" s="120">
        <v>0</v>
      </c>
      <c r="G31" s="120">
        <f t="shared" si="0"/>
        <v>-200</v>
      </c>
      <c r="H31" s="137"/>
    </row>
    <row r="32" customHeight="1" spans="1:8">
      <c r="A32" s="179">
        <v>26</v>
      </c>
      <c r="B32" s="179" t="s">
        <v>1437</v>
      </c>
      <c r="C32" s="137" t="s">
        <v>1466</v>
      </c>
      <c r="D32" s="137" t="s">
        <v>1468</v>
      </c>
      <c r="E32" s="120">
        <v>2500</v>
      </c>
      <c r="F32" s="120">
        <v>1546</v>
      </c>
      <c r="G32" s="120">
        <f t="shared" si="0"/>
        <v>-954</v>
      </c>
      <c r="H32" s="137" t="s">
        <v>1469</v>
      </c>
    </row>
    <row r="33" customHeight="1" spans="1:8">
      <c r="A33" s="179">
        <v>27</v>
      </c>
      <c r="B33" s="179" t="s">
        <v>1437</v>
      </c>
      <c r="C33" s="137" t="s">
        <v>1466</v>
      </c>
      <c r="D33" s="137" t="s">
        <v>1470</v>
      </c>
      <c r="E33" s="120">
        <v>280</v>
      </c>
      <c r="F33" s="120">
        <v>280</v>
      </c>
      <c r="G33" s="120">
        <f t="shared" si="0"/>
        <v>0</v>
      </c>
      <c r="H33" s="137" t="s">
        <v>1471</v>
      </c>
    </row>
    <row r="34" customHeight="1" spans="1:8">
      <c r="A34" s="179">
        <v>28</v>
      </c>
      <c r="B34" s="179" t="s">
        <v>1437</v>
      </c>
      <c r="C34" s="137" t="s">
        <v>541</v>
      </c>
      <c r="D34" s="137" t="s">
        <v>1472</v>
      </c>
      <c r="E34" s="120">
        <v>40</v>
      </c>
      <c r="F34" s="120">
        <v>0</v>
      </c>
      <c r="G34" s="120">
        <f t="shared" si="0"/>
        <v>-40</v>
      </c>
      <c r="H34" s="137"/>
    </row>
    <row r="35" customHeight="1" spans="1:8">
      <c r="A35" s="179">
        <v>29</v>
      </c>
      <c r="B35" s="179" t="s">
        <v>1437</v>
      </c>
      <c r="C35" s="137" t="s">
        <v>1080</v>
      </c>
      <c r="D35" s="137" t="s">
        <v>1473</v>
      </c>
      <c r="E35" s="120">
        <v>53.36</v>
      </c>
      <c r="F35" s="120">
        <v>53.36</v>
      </c>
      <c r="G35" s="120">
        <f t="shared" si="0"/>
        <v>0</v>
      </c>
      <c r="H35" s="137" t="s">
        <v>1474</v>
      </c>
    </row>
    <row r="36" customHeight="1" spans="1:8">
      <c r="A36" s="179">
        <v>30</v>
      </c>
      <c r="B36" s="179" t="s">
        <v>1437</v>
      </c>
      <c r="C36" s="137" t="s">
        <v>559</v>
      </c>
      <c r="D36" s="137" t="s">
        <v>1475</v>
      </c>
      <c r="E36" s="120">
        <v>45</v>
      </c>
      <c r="F36" s="120">
        <v>0</v>
      </c>
      <c r="G36" s="120">
        <f t="shared" si="0"/>
        <v>-45</v>
      </c>
      <c r="H36" s="137"/>
    </row>
    <row r="37" customHeight="1" spans="1:8">
      <c r="A37" s="179">
        <v>31</v>
      </c>
      <c r="B37" s="179" t="s">
        <v>1146</v>
      </c>
      <c r="C37" s="137" t="s">
        <v>585</v>
      </c>
      <c r="D37" s="137" t="s">
        <v>1476</v>
      </c>
      <c r="E37" s="120">
        <v>9447</v>
      </c>
      <c r="F37" s="120">
        <v>7720.3104</v>
      </c>
      <c r="G37" s="120">
        <f t="shared" si="0"/>
        <v>-1726.6896</v>
      </c>
      <c r="H37" s="137"/>
    </row>
    <row r="38" customHeight="1" spans="1:8">
      <c r="A38" s="179">
        <v>32</v>
      </c>
      <c r="B38" s="179" t="s">
        <v>521</v>
      </c>
      <c r="C38" s="137" t="s">
        <v>1477</v>
      </c>
      <c r="D38" s="137" t="s">
        <v>1478</v>
      </c>
      <c r="E38" s="120">
        <v>121</v>
      </c>
      <c r="F38" s="120">
        <v>0</v>
      </c>
      <c r="G38" s="120">
        <f t="shared" si="0"/>
        <v>-121</v>
      </c>
      <c r="H38" s="137"/>
    </row>
    <row r="39" customHeight="1" spans="1:8">
      <c r="A39" s="179">
        <v>33</v>
      </c>
      <c r="B39" s="179" t="s">
        <v>1437</v>
      </c>
      <c r="C39" s="137" t="s">
        <v>1463</v>
      </c>
      <c r="D39" s="137" t="s">
        <v>1479</v>
      </c>
      <c r="E39" s="120">
        <v>49.36</v>
      </c>
      <c r="F39" s="120">
        <v>0</v>
      </c>
      <c r="G39" s="120">
        <f t="shared" si="0"/>
        <v>-49.36</v>
      </c>
      <c r="H39" s="137"/>
    </row>
    <row r="40" customHeight="1" spans="1:8">
      <c r="A40" s="182" t="s">
        <v>1480</v>
      </c>
      <c r="B40" s="183"/>
      <c r="C40" s="183"/>
      <c r="D40" s="184"/>
      <c r="E40" s="185">
        <f>SUM(E9:E39)</f>
        <v>22932.4736</v>
      </c>
      <c r="F40" s="185">
        <f>SUM(F9:F39)</f>
        <v>13461.945354</v>
      </c>
      <c r="G40" s="185">
        <f t="shared" si="0"/>
        <v>-9470.52824600001</v>
      </c>
      <c r="H40" s="186"/>
    </row>
    <row r="41" customHeight="1" spans="1:8">
      <c r="A41" s="179">
        <v>34</v>
      </c>
      <c r="B41" s="179" t="s">
        <v>653</v>
      </c>
      <c r="C41" s="137" t="s">
        <v>1463</v>
      </c>
      <c r="D41" s="137" t="s">
        <v>1481</v>
      </c>
      <c r="E41" s="120">
        <v>1056.82</v>
      </c>
      <c r="F41" s="120">
        <v>1056.822294</v>
      </c>
      <c r="G41" s="120">
        <f t="shared" si="0"/>
        <v>0.00229400000011992</v>
      </c>
      <c r="H41" s="137"/>
    </row>
    <row r="42" customHeight="1" spans="1:8">
      <c r="A42" s="179">
        <v>35</v>
      </c>
      <c r="B42" s="179" t="s">
        <v>611</v>
      </c>
      <c r="C42" s="137" t="s">
        <v>1463</v>
      </c>
      <c r="D42" s="137" t="s">
        <v>1482</v>
      </c>
      <c r="E42" s="120">
        <v>300</v>
      </c>
      <c r="F42" s="120">
        <v>12.73763</v>
      </c>
      <c r="G42" s="120">
        <f t="shared" si="0"/>
        <v>-287.26237</v>
      </c>
      <c r="H42" s="137"/>
    </row>
    <row r="43" customHeight="1" spans="1:8">
      <c r="A43" s="179">
        <v>36</v>
      </c>
      <c r="B43" s="179" t="s">
        <v>611</v>
      </c>
      <c r="C43" s="137" t="s">
        <v>1463</v>
      </c>
      <c r="D43" s="137" t="s">
        <v>1483</v>
      </c>
      <c r="E43" s="120">
        <v>300</v>
      </c>
      <c r="F43" s="120">
        <v>12.16175</v>
      </c>
      <c r="G43" s="120">
        <f t="shared" si="0"/>
        <v>-287.83825</v>
      </c>
      <c r="H43" s="137"/>
    </row>
    <row r="44" customHeight="1" spans="1:8">
      <c r="A44" s="179">
        <v>37</v>
      </c>
      <c r="B44" s="179" t="s">
        <v>1437</v>
      </c>
      <c r="C44" s="137" t="s">
        <v>1484</v>
      </c>
      <c r="D44" s="137" t="s">
        <v>1485</v>
      </c>
      <c r="E44" s="120">
        <v>32</v>
      </c>
      <c r="F44" s="120">
        <v>0</v>
      </c>
      <c r="G44" s="120">
        <f t="shared" si="0"/>
        <v>-32</v>
      </c>
      <c r="H44" s="137"/>
    </row>
    <row r="45" customHeight="1" spans="1:8">
      <c r="A45" s="179">
        <v>38</v>
      </c>
      <c r="B45" s="179" t="s">
        <v>1437</v>
      </c>
      <c r="C45" s="137" t="s">
        <v>1484</v>
      </c>
      <c r="D45" s="137" t="s">
        <v>1486</v>
      </c>
      <c r="E45" s="120">
        <v>200</v>
      </c>
      <c r="F45" s="120">
        <v>0</v>
      </c>
      <c r="G45" s="120">
        <f t="shared" si="0"/>
        <v>-200</v>
      </c>
      <c r="H45" s="137"/>
    </row>
    <row r="46" customHeight="1" spans="1:8">
      <c r="A46" s="179">
        <v>39</v>
      </c>
      <c r="B46" s="179" t="s">
        <v>1437</v>
      </c>
      <c r="C46" s="137" t="s">
        <v>1484</v>
      </c>
      <c r="D46" s="137" t="s">
        <v>1487</v>
      </c>
      <c r="E46" s="120">
        <v>51</v>
      </c>
      <c r="F46" s="120">
        <v>40.876693</v>
      </c>
      <c r="G46" s="120">
        <f t="shared" si="0"/>
        <v>-10.123307</v>
      </c>
      <c r="H46" s="137"/>
    </row>
    <row r="47" customHeight="1" spans="1:8">
      <c r="A47" s="179">
        <v>40</v>
      </c>
      <c r="B47" s="179" t="s">
        <v>1437</v>
      </c>
      <c r="C47" s="137" t="s">
        <v>1484</v>
      </c>
      <c r="D47" s="137" t="s">
        <v>1488</v>
      </c>
      <c r="E47" s="120">
        <v>5</v>
      </c>
      <c r="F47" s="120">
        <v>4.88429</v>
      </c>
      <c r="G47" s="120">
        <f t="shared" si="0"/>
        <v>-0.11571</v>
      </c>
      <c r="H47" s="137"/>
    </row>
    <row r="48" customHeight="1" spans="1:8">
      <c r="A48" s="179">
        <v>41</v>
      </c>
      <c r="B48" s="179" t="s">
        <v>1437</v>
      </c>
      <c r="C48" s="137" t="s">
        <v>1484</v>
      </c>
      <c r="D48" s="137" t="s">
        <v>1489</v>
      </c>
      <c r="E48" s="120">
        <v>26</v>
      </c>
      <c r="F48" s="120">
        <v>18.110908</v>
      </c>
      <c r="G48" s="120">
        <f t="shared" si="0"/>
        <v>-7.889092</v>
      </c>
      <c r="H48" s="137"/>
    </row>
    <row r="49" customHeight="1" spans="1:8">
      <c r="A49" s="179">
        <v>42</v>
      </c>
      <c r="B49" s="179" t="s">
        <v>1437</v>
      </c>
      <c r="C49" s="137" t="s">
        <v>1484</v>
      </c>
      <c r="D49" s="137" t="s">
        <v>1490</v>
      </c>
      <c r="E49" s="120">
        <v>12</v>
      </c>
      <c r="F49" s="120">
        <v>11.909476</v>
      </c>
      <c r="G49" s="120">
        <f t="shared" si="0"/>
        <v>-0.0905240000000003</v>
      </c>
      <c r="H49" s="137"/>
    </row>
    <row r="50" customHeight="1" spans="1:8">
      <c r="A50" s="179">
        <v>43</v>
      </c>
      <c r="B50" s="179" t="s">
        <v>1437</v>
      </c>
      <c r="C50" s="137" t="s">
        <v>1463</v>
      </c>
      <c r="D50" s="137" t="s">
        <v>1491</v>
      </c>
      <c r="E50" s="120">
        <v>79.62</v>
      </c>
      <c r="F50" s="120">
        <v>23.89</v>
      </c>
      <c r="G50" s="120">
        <f t="shared" si="0"/>
        <v>-55.73</v>
      </c>
      <c r="H50" s="137" t="s">
        <v>1492</v>
      </c>
    </row>
    <row r="51" customHeight="1" spans="1:8">
      <c r="A51" s="179">
        <v>44</v>
      </c>
      <c r="B51" s="179" t="s">
        <v>1437</v>
      </c>
      <c r="C51" s="137" t="s">
        <v>541</v>
      </c>
      <c r="D51" s="137" t="s">
        <v>1493</v>
      </c>
      <c r="E51" s="120">
        <v>100</v>
      </c>
      <c r="F51" s="120">
        <v>20</v>
      </c>
      <c r="G51" s="120">
        <f t="shared" si="0"/>
        <v>-80</v>
      </c>
      <c r="H51" s="137"/>
    </row>
    <row r="52" customHeight="1" spans="1:8">
      <c r="A52" s="179">
        <v>45</v>
      </c>
      <c r="B52" s="179" t="s">
        <v>1437</v>
      </c>
      <c r="C52" s="137" t="s">
        <v>1484</v>
      </c>
      <c r="D52" s="137" t="s">
        <v>1494</v>
      </c>
      <c r="E52" s="120">
        <v>21.36</v>
      </c>
      <c r="F52" s="120">
        <v>0</v>
      </c>
      <c r="G52" s="120">
        <f t="shared" si="0"/>
        <v>-21.36</v>
      </c>
      <c r="H52" s="137"/>
    </row>
    <row r="53" customHeight="1" spans="1:8">
      <c r="A53" s="179">
        <v>46</v>
      </c>
      <c r="B53" s="179" t="s">
        <v>1437</v>
      </c>
      <c r="C53" s="137" t="s">
        <v>1438</v>
      </c>
      <c r="D53" s="137" t="s">
        <v>1495</v>
      </c>
      <c r="E53" s="120">
        <v>8239.212</v>
      </c>
      <c r="F53" s="120">
        <v>8239.21</v>
      </c>
      <c r="G53" s="120">
        <f t="shared" si="0"/>
        <v>-0.00200000000040745</v>
      </c>
      <c r="H53" s="137"/>
    </row>
    <row r="54" customHeight="1" spans="1:8">
      <c r="A54" s="182" t="s">
        <v>1496</v>
      </c>
      <c r="B54" s="183"/>
      <c r="C54" s="183"/>
      <c r="D54" s="184"/>
      <c r="E54" s="185">
        <f>SUM(E41:E53)</f>
        <v>10423.012</v>
      </c>
      <c r="F54" s="185">
        <f>SUM(F41:F53)</f>
        <v>9440.603041</v>
      </c>
      <c r="G54" s="185">
        <f t="shared" si="0"/>
        <v>-982.408959</v>
      </c>
      <c r="H54" s="186"/>
    </row>
    <row r="55" customHeight="1" spans="1:8">
      <c r="A55" s="179">
        <v>47</v>
      </c>
      <c r="B55" s="179" t="s">
        <v>653</v>
      </c>
      <c r="C55" s="137" t="s">
        <v>1463</v>
      </c>
      <c r="D55" s="137" t="s">
        <v>1497</v>
      </c>
      <c r="E55" s="120">
        <v>82.94</v>
      </c>
      <c r="F55" s="120">
        <v>16.59</v>
      </c>
      <c r="G55" s="120">
        <f t="shared" si="0"/>
        <v>-66.35</v>
      </c>
      <c r="H55" s="137"/>
    </row>
    <row r="56" customHeight="1" spans="1:8">
      <c r="A56" s="179">
        <v>48</v>
      </c>
      <c r="B56" s="179" t="s">
        <v>611</v>
      </c>
      <c r="C56" s="137" t="s">
        <v>1498</v>
      </c>
      <c r="D56" s="137" t="s">
        <v>1499</v>
      </c>
      <c r="E56" s="120">
        <v>20</v>
      </c>
      <c r="F56" s="120">
        <v>12</v>
      </c>
      <c r="G56" s="120">
        <f t="shared" si="0"/>
        <v>-8</v>
      </c>
      <c r="H56" s="137"/>
    </row>
    <row r="57" customHeight="1" spans="1:8">
      <c r="A57" s="179">
        <v>49</v>
      </c>
      <c r="B57" s="179" t="s">
        <v>611</v>
      </c>
      <c r="C57" s="137" t="s">
        <v>1498</v>
      </c>
      <c r="D57" s="137" t="s">
        <v>1500</v>
      </c>
      <c r="E57" s="120">
        <v>60</v>
      </c>
      <c r="F57" s="120">
        <v>33.06</v>
      </c>
      <c r="G57" s="120">
        <f t="shared" si="0"/>
        <v>-26.94</v>
      </c>
      <c r="H57" s="137"/>
    </row>
    <row r="58" customHeight="1" spans="1:8">
      <c r="A58" s="179">
        <v>50</v>
      </c>
      <c r="B58" s="179" t="s">
        <v>611</v>
      </c>
      <c r="C58" s="137" t="s">
        <v>1498</v>
      </c>
      <c r="D58" s="137" t="s">
        <v>1501</v>
      </c>
      <c r="E58" s="120">
        <v>123.76</v>
      </c>
      <c r="F58" s="120">
        <v>0</v>
      </c>
      <c r="G58" s="120">
        <f t="shared" si="0"/>
        <v>-123.76</v>
      </c>
      <c r="H58" s="137"/>
    </row>
    <row r="59" customHeight="1" spans="1:8">
      <c r="A59" s="179">
        <v>51</v>
      </c>
      <c r="B59" s="179" t="s">
        <v>611</v>
      </c>
      <c r="C59" s="137" t="s">
        <v>1498</v>
      </c>
      <c r="D59" s="137" t="s">
        <v>1502</v>
      </c>
      <c r="E59" s="120">
        <v>121.82</v>
      </c>
      <c r="F59" s="120">
        <v>39.32</v>
      </c>
      <c r="G59" s="120">
        <f t="shared" si="0"/>
        <v>-82.5</v>
      </c>
      <c r="H59" s="137"/>
    </row>
    <row r="60" customHeight="1" spans="1:8">
      <c r="A60" s="179">
        <v>52</v>
      </c>
      <c r="B60" s="179" t="s">
        <v>611</v>
      </c>
      <c r="C60" s="137" t="s">
        <v>1498</v>
      </c>
      <c r="D60" s="137" t="s">
        <v>1503</v>
      </c>
      <c r="E60" s="120">
        <v>95</v>
      </c>
      <c r="F60" s="120">
        <v>17</v>
      </c>
      <c r="G60" s="120">
        <f t="shared" si="0"/>
        <v>-78</v>
      </c>
      <c r="H60" s="137"/>
    </row>
    <row r="61" customHeight="1" spans="1:8">
      <c r="A61" s="179">
        <v>53</v>
      </c>
      <c r="B61" s="179" t="s">
        <v>611</v>
      </c>
      <c r="C61" s="137" t="s">
        <v>1504</v>
      </c>
      <c r="D61" s="137" t="s">
        <v>1505</v>
      </c>
      <c r="E61" s="120">
        <v>107.25</v>
      </c>
      <c r="F61" s="120">
        <v>0</v>
      </c>
      <c r="G61" s="120">
        <f t="shared" si="0"/>
        <v>-107.25</v>
      </c>
      <c r="H61" s="137"/>
    </row>
    <row r="62" customHeight="1" spans="1:8">
      <c r="A62" s="179">
        <v>54</v>
      </c>
      <c r="B62" s="179" t="s">
        <v>611</v>
      </c>
      <c r="C62" s="137" t="s">
        <v>1504</v>
      </c>
      <c r="D62" s="137" t="s">
        <v>1506</v>
      </c>
      <c r="E62" s="120">
        <v>87.70533</v>
      </c>
      <c r="F62" s="120">
        <v>0</v>
      </c>
      <c r="G62" s="120">
        <f t="shared" si="0"/>
        <v>-87.70533</v>
      </c>
      <c r="H62" s="137"/>
    </row>
    <row r="63" customHeight="1" spans="1:8">
      <c r="A63" s="179">
        <v>55</v>
      </c>
      <c r="B63" s="179" t="s">
        <v>611</v>
      </c>
      <c r="C63" s="137" t="s">
        <v>1504</v>
      </c>
      <c r="D63" s="137" t="s">
        <v>1507</v>
      </c>
      <c r="E63" s="120">
        <v>150</v>
      </c>
      <c r="F63" s="120">
        <v>50</v>
      </c>
      <c r="G63" s="120">
        <f t="shared" si="0"/>
        <v>-100</v>
      </c>
      <c r="H63" s="137"/>
    </row>
    <row r="64" customHeight="1" spans="1:8">
      <c r="A64" s="179">
        <v>56</v>
      </c>
      <c r="B64" s="179" t="s">
        <v>611</v>
      </c>
      <c r="C64" s="137" t="s">
        <v>1508</v>
      </c>
      <c r="D64" s="137" t="s">
        <v>1509</v>
      </c>
      <c r="E64" s="120">
        <v>5314</v>
      </c>
      <c r="F64" s="120">
        <v>3697.446692</v>
      </c>
      <c r="G64" s="120">
        <f t="shared" si="0"/>
        <v>-1616.553308</v>
      </c>
      <c r="H64" s="137"/>
    </row>
    <row r="65" customHeight="1" spans="1:8">
      <c r="A65" s="179">
        <v>57</v>
      </c>
      <c r="B65" s="179" t="s">
        <v>611</v>
      </c>
      <c r="C65" s="137" t="s">
        <v>1508</v>
      </c>
      <c r="D65" s="137" t="s">
        <v>1510</v>
      </c>
      <c r="E65" s="120">
        <v>1594.82</v>
      </c>
      <c r="F65" s="120">
        <v>238.4</v>
      </c>
      <c r="G65" s="120">
        <f t="shared" si="0"/>
        <v>-1356.42</v>
      </c>
      <c r="H65" s="137"/>
    </row>
    <row r="66" customHeight="1" spans="1:8">
      <c r="A66" s="179">
        <v>58</v>
      </c>
      <c r="B66" s="179" t="s">
        <v>611</v>
      </c>
      <c r="C66" s="137" t="s">
        <v>1508</v>
      </c>
      <c r="D66" s="137" t="s">
        <v>1511</v>
      </c>
      <c r="E66" s="120">
        <v>327.460883</v>
      </c>
      <c r="F66" s="120">
        <v>0</v>
      </c>
      <c r="G66" s="120">
        <f t="shared" si="0"/>
        <v>-327.460883</v>
      </c>
      <c r="H66" s="137"/>
    </row>
    <row r="67" customHeight="1" spans="1:8">
      <c r="A67" s="179">
        <v>59</v>
      </c>
      <c r="B67" s="179" t="s">
        <v>611</v>
      </c>
      <c r="C67" s="137" t="s">
        <v>585</v>
      </c>
      <c r="D67" s="137" t="s">
        <v>1512</v>
      </c>
      <c r="E67" s="120">
        <v>124.03</v>
      </c>
      <c r="F67" s="120">
        <v>0</v>
      </c>
      <c r="G67" s="120">
        <f t="shared" si="0"/>
        <v>-124.03</v>
      </c>
      <c r="H67" s="137"/>
    </row>
    <row r="68" customHeight="1" spans="1:8">
      <c r="A68" s="179">
        <v>60</v>
      </c>
      <c r="B68" s="179" t="s">
        <v>611</v>
      </c>
      <c r="C68" s="137" t="s">
        <v>585</v>
      </c>
      <c r="D68" s="137" t="s">
        <v>1513</v>
      </c>
      <c r="E68" s="120">
        <v>500</v>
      </c>
      <c r="F68" s="120">
        <v>0</v>
      </c>
      <c r="G68" s="120">
        <f t="shared" si="0"/>
        <v>-500</v>
      </c>
      <c r="H68" s="137"/>
    </row>
    <row r="69" customHeight="1" spans="1:8">
      <c r="A69" s="179">
        <v>61</v>
      </c>
      <c r="B69" s="179" t="s">
        <v>611</v>
      </c>
      <c r="C69" s="137" t="s">
        <v>585</v>
      </c>
      <c r="D69" s="137" t="s">
        <v>1514</v>
      </c>
      <c r="E69" s="120">
        <v>0</v>
      </c>
      <c r="F69" s="120">
        <v>0</v>
      </c>
      <c r="G69" s="120">
        <f t="shared" si="0"/>
        <v>0</v>
      </c>
      <c r="H69" s="137"/>
    </row>
    <row r="70" customHeight="1" spans="1:8">
      <c r="A70" s="179">
        <v>62</v>
      </c>
      <c r="B70" s="179" t="s">
        <v>611</v>
      </c>
      <c r="C70" s="137" t="s">
        <v>585</v>
      </c>
      <c r="D70" s="137" t="s">
        <v>1515</v>
      </c>
      <c r="E70" s="120">
        <v>39.45</v>
      </c>
      <c r="F70" s="120">
        <v>0.17924</v>
      </c>
      <c r="G70" s="120">
        <f t="shared" ref="G70:G133" si="1">F70-E70</f>
        <v>-39.27076</v>
      </c>
      <c r="H70" s="137"/>
    </row>
    <row r="71" customHeight="1" spans="1:8">
      <c r="A71" s="179">
        <v>63</v>
      </c>
      <c r="B71" s="179" t="s">
        <v>611</v>
      </c>
      <c r="C71" s="137" t="s">
        <v>585</v>
      </c>
      <c r="D71" s="137" t="s">
        <v>1516</v>
      </c>
      <c r="E71" s="120">
        <v>925.27</v>
      </c>
      <c r="F71" s="120">
        <v>0</v>
      </c>
      <c r="G71" s="120">
        <f t="shared" si="1"/>
        <v>-925.27</v>
      </c>
      <c r="H71" s="137"/>
    </row>
    <row r="72" customHeight="1" spans="1:8">
      <c r="A72" s="179">
        <v>64</v>
      </c>
      <c r="B72" s="179" t="s">
        <v>611</v>
      </c>
      <c r="C72" s="137" t="s">
        <v>701</v>
      </c>
      <c r="D72" s="137" t="s">
        <v>1517</v>
      </c>
      <c r="E72" s="120">
        <v>12.65</v>
      </c>
      <c r="F72" s="120">
        <v>0</v>
      </c>
      <c r="G72" s="120">
        <f t="shared" si="1"/>
        <v>-12.65</v>
      </c>
      <c r="H72" s="137"/>
    </row>
    <row r="73" customHeight="1" spans="1:8">
      <c r="A73" s="179">
        <v>65</v>
      </c>
      <c r="B73" s="179" t="s">
        <v>611</v>
      </c>
      <c r="C73" s="137" t="s">
        <v>848</v>
      </c>
      <c r="D73" s="137" t="s">
        <v>1518</v>
      </c>
      <c r="E73" s="120">
        <v>130</v>
      </c>
      <c r="F73" s="120">
        <v>0</v>
      </c>
      <c r="G73" s="120">
        <f t="shared" si="1"/>
        <v>-130</v>
      </c>
      <c r="H73" s="137"/>
    </row>
    <row r="74" customHeight="1" spans="1:8">
      <c r="A74" s="179">
        <v>66</v>
      </c>
      <c r="B74" s="179" t="s">
        <v>611</v>
      </c>
      <c r="C74" s="137" t="s">
        <v>1519</v>
      </c>
      <c r="D74" s="137" t="s">
        <v>1520</v>
      </c>
      <c r="E74" s="120">
        <v>1323</v>
      </c>
      <c r="F74" s="120">
        <v>0</v>
      </c>
      <c r="G74" s="120">
        <f t="shared" si="1"/>
        <v>-1323</v>
      </c>
      <c r="H74" s="137"/>
    </row>
    <row r="75" customHeight="1" spans="1:8">
      <c r="A75" s="179">
        <v>67</v>
      </c>
      <c r="B75" s="179" t="s">
        <v>611</v>
      </c>
      <c r="C75" s="137" t="s">
        <v>559</v>
      </c>
      <c r="D75" s="137" t="s">
        <v>1521</v>
      </c>
      <c r="E75" s="120">
        <v>127.48</v>
      </c>
      <c r="F75" s="120">
        <v>0</v>
      </c>
      <c r="G75" s="120">
        <f t="shared" si="1"/>
        <v>-127.48</v>
      </c>
      <c r="H75" s="137"/>
    </row>
    <row r="76" customHeight="1" spans="1:8">
      <c r="A76" s="179">
        <v>68</v>
      </c>
      <c r="B76" s="179" t="s">
        <v>611</v>
      </c>
      <c r="C76" s="137" t="s">
        <v>541</v>
      </c>
      <c r="D76" s="137" t="s">
        <v>1522</v>
      </c>
      <c r="E76" s="120">
        <v>286.88</v>
      </c>
      <c r="F76" s="120">
        <v>0</v>
      </c>
      <c r="G76" s="120">
        <f t="shared" si="1"/>
        <v>-286.88</v>
      </c>
      <c r="H76" s="137"/>
    </row>
    <row r="77" customHeight="1" spans="1:8">
      <c r="A77" s="179">
        <v>69</v>
      </c>
      <c r="B77" s="179" t="s">
        <v>611</v>
      </c>
      <c r="C77" s="137" t="s">
        <v>543</v>
      </c>
      <c r="D77" s="137" t="s">
        <v>1523</v>
      </c>
      <c r="E77" s="120">
        <v>100</v>
      </c>
      <c r="F77" s="120">
        <v>0</v>
      </c>
      <c r="G77" s="120">
        <f t="shared" si="1"/>
        <v>-100</v>
      </c>
      <c r="H77" s="137"/>
    </row>
    <row r="78" customHeight="1" spans="1:8">
      <c r="A78" s="179">
        <v>70</v>
      </c>
      <c r="B78" s="179" t="s">
        <v>611</v>
      </c>
      <c r="C78" s="137" t="s">
        <v>543</v>
      </c>
      <c r="D78" s="137" t="s">
        <v>1524</v>
      </c>
      <c r="E78" s="120">
        <v>687.25</v>
      </c>
      <c r="F78" s="120">
        <v>0</v>
      </c>
      <c r="G78" s="120">
        <f t="shared" si="1"/>
        <v>-687.25</v>
      </c>
      <c r="H78" s="137"/>
    </row>
    <row r="79" customHeight="1" spans="1:8">
      <c r="A79" s="179">
        <v>71</v>
      </c>
      <c r="B79" s="179" t="s">
        <v>611</v>
      </c>
      <c r="C79" s="137" t="s">
        <v>701</v>
      </c>
      <c r="D79" s="137" t="s">
        <v>1525</v>
      </c>
      <c r="E79" s="120">
        <v>17.52</v>
      </c>
      <c r="F79" s="120">
        <v>17.52</v>
      </c>
      <c r="G79" s="120">
        <f t="shared" si="1"/>
        <v>0</v>
      </c>
      <c r="H79" s="137"/>
    </row>
    <row r="80" customHeight="1" spans="1:8">
      <c r="A80" s="179">
        <v>72</v>
      </c>
      <c r="B80" s="179" t="s">
        <v>611</v>
      </c>
      <c r="C80" s="137" t="s">
        <v>1526</v>
      </c>
      <c r="D80" s="137" t="s">
        <v>1527</v>
      </c>
      <c r="E80" s="120">
        <v>60</v>
      </c>
      <c r="F80" s="120">
        <v>60</v>
      </c>
      <c r="G80" s="120">
        <f t="shared" si="1"/>
        <v>0</v>
      </c>
      <c r="H80" s="137"/>
    </row>
    <row r="81" customHeight="1" spans="1:8">
      <c r="A81" s="179">
        <v>73</v>
      </c>
      <c r="B81" s="179" t="s">
        <v>611</v>
      </c>
      <c r="C81" s="137" t="s">
        <v>1528</v>
      </c>
      <c r="D81" s="137" t="s">
        <v>1529</v>
      </c>
      <c r="E81" s="120">
        <v>11.21</v>
      </c>
      <c r="F81" s="120">
        <v>11.21</v>
      </c>
      <c r="G81" s="120">
        <f t="shared" si="1"/>
        <v>0</v>
      </c>
      <c r="H81" s="137"/>
    </row>
    <row r="82" customHeight="1" spans="1:8">
      <c r="A82" s="179">
        <v>74</v>
      </c>
      <c r="B82" s="179" t="s">
        <v>611</v>
      </c>
      <c r="C82" s="137" t="s">
        <v>1530</v>
      </c>
      <c r="D82" s="137" t="s">
        <v>1531</v>
      </c>
      <c r="E82" s="120">
        <v>5.45999999999999</v>
      </c>
      <c r="F82" s="120">
        <v>0</v>
      </c>
      <c r="G82" s="120">
        <f t="shared" si="1"/>
        <v>-5.45999999999999</v>
      </c>
      <c r="H82" s="137"/>
    </row>
    <row r="83" customHeight="1" spans="1:8">
      <c r="A83" s="179">
        <v>75</v>
      </c>
      <c r="B83" s="179" t="s">
        <v>611</v>
      </c>
      <c r="C83" s="137" t="s">
        <v>1092</v>
      </c>
      <c r="D83" s="137" t="s">
        <v>1532</v>
      </c>
      <c r="E83" s="120">
        <v>50</v>
      </c>
      <c r="F83" s="120">
        <v>0</v>
      </c>
      <c r="G83" s="120">
        <f t="shared" si="1"/>
        <v>-50</v>
      </c>
      <c r="H83" s="137"/>
    </row>
    <row r="84" customHeight="1" spans="1:8">
      <c r="A84" s="179">
        <v>76</v>
      </c>
      <c r="B84" s="179" t="s">
        <v>611</v>
      </c>
      <c r="C84" s="137" t="s">
        <v>1092</v>
      </c>
      <c r="D84" s="137" t="s">
        <v>1533</v>
      </c>
      <c r="E84" s="120">
        <v>100</v>
      </c>
      <c r="F84" s="120">
        <v>0</v>
      </c>
      <c r="G84" s="120">
        <f t="shared" si="1"/>
        <v>-100</v>
      </c>
      <c r="H84" s="137"/>
    </row>
    <row r="85" customHeight="1" spans="1:8">
      <c r="A85" s="179">
        <v>77</v>
      </c>
      <c r="B85" s="179" t="s">
        <v>611</v>
      </c>
      <c r="C85" s="137" t="s">
        <v>1092</v>
      </c>
      <c r="D85" s="137" t="s">
        <v>1534</v>
      </c>
      <c r="E85" s="120">
        <v>56.82</v>
      </c>
      <c r="F85" s="120">
        <v>5</v>
      </c>
      <c r="G85" s="120">
        <f t="shared" si="1"/>
        <v>-51.82</v>
      </c>
      <c r="H85" s="137"/>
    </row>
    <row r="86" customHeight="1" spans="1:8">
      <c r="A86" s="179">
        <v>78</v>
      </c>
      <c r="B86" s="179" t="s">
        <v>653</v>
      </c>
      <c r="C86" s="137" t="s">
        <v>1463</v>
      </c>
      <c r="D86" s="137" t="s">
        <v>1535</v>
      </c>
      <c r="E86" s="120">
        <v>139.9</v>
      </c>
      <c r="F86" s="120">
        <v>0</v>
      </c>
      <c r="G86" s="120">
        <f t="shared" si="1"/>
        <v>-139.9</v>
      </c>
      <c r="H86" s="137"/>
    </row>
    <row r="87" customHeight="1" spans="1:8">
      <c r="A87" s="179">
        <v>79</v>
      </c>
      <c r="B87" s="179" t="s">
        <v>653</v>
      </c>
      <c r="C87" s="137" t="s">
        <v>1463</v>
      </c>
      <c r="D87" s="137" t="s">
        <v>1536</v>
      </c>
      <c r="E87" s="120">
        <v>1104.47</v>
      </c>
      <c r="F87" s="120">
        <v>0</v>
      </c>
      <c r="G87" s="120">
        <f t="shared" si="1"/>
        <v>-1104.47</v>
      </c>
      <c r="H87" s="137"/>
    </row>
    <row r="88" customHeight="1" spans="1:8">
      <c r="A88" s="179">
        <v>80</v>
      </c>
      <c r="B88" s="179" t="s">
        <v>572</v>
      </c>
      <c r="C88" s="137" t="s">
        <v>1105</v>
      </c>
      <c r="D88" s="137" t="s">
        <v>1537</v>
      </c>
      <c r="E88" s="120">
        <v>36.65</v>
      </c>
      <c r="F88" s="120">
        <v>36.65</v>
      </c>
      <c r="G88" s="120">
        <f t="shared" si="1"/>
        <v>0</v>
      </c>
      <c r="H88" s="137"/>
    </row>
    <row r="89" customHeight="1" spans="1:8">
      <c r="A89" s="179">
        <v>81</v>
      </c>
      <c r="B89" s="179" t="s">
        <v>1437</v>
      </c>
      <c r="C89" s="137" t="s">
        <v>1538</v>
      </c>
      <c r="D89" s="137" t="s">
        <v>1539</v>
      </c>
      <c r="E89" s="120">
        <v>14.4</v>
      </c>
      <c r="F89" s="120">
        <v>0</v>
      </c>
      <c r="G89" s="120">
        <f t="shared" si="1"/>
        <v>-14.4</v>
      </c>
      <c r="H89" s="137"/>
    </row>
    <row r="90" customHeight="1" spans="1:8">
      <c r="A90" s="179">
        <v>82</v>
      </c>
      <c r="B90" s="179" t="s">
        <v>1437</v>
      </c>
      <c r="C90" s="137" t="s">
        <v>1466</v>
      </c>
      <c r="D90" s="137" t="s">
        <v>1540</v>
      </c>
      <c r="E90" s="120">
        <v>100</v>
      </c>
      <c r="F90" s="120">
        <v>0</v>
      </c>
      <c r="G90" s="120">
        <f t="shared" si="1"/>
        <v>-100</v>
      </c>
      <c r="H90" s="137"/>
    </row>
    <row r="91" customHeight="1" spans="1:8">
      <c r="A91" s="179">
        <v>83</v>
      </c>
      <c r="B91" s="179" t="s">
        <v>563</v>
      </c>
      <c r="C91" s="137" t="s">
        <v>1541</v>
      </c>
      <c r="D91" s="137" t="s">
        <v>1542</v>
      </c>
      <c r="E91" s="120">
        <v>139</v>
      </c>
      <c r="F91" s="120">
        <v>50</v>
      </c>
      <c r="G91" s="120">
        <f t="shared" si="1"/>
        <v>-89</v>
      </c>
      <c r="H91" s="137"/>
    </row>
    <row r="92" customHeight="1" spans="1:8">
      <c r="A92" s="179">
        <v>84</v>
      </c>
      <c r="B92" s="179" t="s">
        <v>563</v>
      </c>
      <c r="C92" s="137" t="s">
        <v>1543</v>
      </c>
      <c r="D92" s="137" t="s">
        <v>1544</v>
      </c>
      <c r="E92" s="120">
        <v>133</v>
      </c>
      <c r="F92" s="120">
        <v>10</v>
      </c>
      <c r="G92" s="120">
        <f t="shared" si="1"/>
        <v>-123</v>
      </c>
      <c r="H92" s="137"/>
    </row>
    <row r="93" customHeight="1" spans="1:8">
      <c r="A93" s="179">
        <v>85</v>
      </c>
      <c r="B93" s="179" t="s">
        <v>1146</v>
      </c>
      <c r="C93" s="137" t="s">
        <v>585</v>
      </c>
      <c r="D93" s="137" t="s">
        <v>1545</v>
      </c>
      <c r="E93" s="120">
        <v>710</v>
      </c>
      <c r="F93" s="120">
        <v>0</v>
      </c>
      <c r="G93" s="120">
        <f t="shared" si="1"/>
        <v>-710</v>
      </c>
      <c r="H93" s="137"/>
    </row>
    <row r="94" customHeight="1" spans="1:8">
      <c r="A94" s="179">
        <v>86</v>
      </c>
      <c r="B94" s="179" t="s">
        <v>1146</v>
      </c>
      <c r="C94" s="137" t="s">
        <v>612</v>
      </c>
      <c r="D94" s="137" t="s">
        <v>1546</v>
      </c>
      <c r="E94" s="120">
        <v>723.09</v>
      </c>
      <c r="F94" s="120">
        <v>723.09</v>
      </c>
      <c r="G94" s="120">
        <f t="shared" si="1"/>
        <v>0</v>
      </c>
      <c r="H94" s="137" t="s">
        <v>1547</v>
      </c>
    </row>
    <row r="95" customHeight="1" spans="1:8">
      <c r="A95" s="179">
        <v>87</v>
      </c>
      <c r="B95" s="179" t="s">
        <v>572</v>
      </c>
      <c r="C95" s="137" t="s">
        <v>585</v>
      </c>
      <c r="D95" s="137" t="s">
        <v>1548</v>
      </c>
      <c r="E95" s="120">
        <v>200</v>
      </c>
      <c r="F95" s="120">
        <v>0</v>
      </c>
      <c r="G95" s="120">
        <f t="shared" si="1"/>
        <v>-200</v>
      </c>
      <c r="H95" s="137"/>
    </row>
    <row r="96" customHeight="1" spans="1:8">
      <c r="A96" s="179">
        <v>88</v>
      </c>
      <c r="B96" s="179" t="s">
        <v>1549</v>
      </c>
      <c r="C96" s="137" t="s">
        <v>848</v>
      </c>
      <c r="D96" s="137" t="s">
        <v>1550</v>
      </c>
      <c r="E96" s="120">
        <v>50</v>
      </c>
      <c r="F96" s="120">
        <v>20</v>
      </c>
      <c r="G96" s="120">
        <f t="shared" si="1"/>
        <v>-30</v>
      </c>
      <c r="H96" s="137"/>
    </row>
    <row r="97" customHeight="1" spans="1:8">
      <c r="A97" s="179">
        <v>89</v>
      </c>
      <c r="B97" s="179" t="s">
        <v>1549</v>
      </c>
      <c r="C97" s="137" t="s">
        <v>848</v>
      </c>
      <c r="D97" s="137" t="s">
        <v>1551</v>
      </c>
      <c r="E97" s="120">
        <v>200</v>
      </c>
      <c r="F97" s="120">
        <v>0</v>
      </c>
      <c r="G97" s="120">
        <f t="shared" si="1"/>
        <v>-200</v>
      </c>
      <c r="H97" s="137"/>
    </row>
    <row r="98" customHeight="1" spans="1:8">
      <c r="A98" s="179">
        <v>90</v>
      </c>
      <c r="B98" s="179" t="s">
        <v>1549</v>
      </c>
      <c r="C98" s="137" t="s">
        <v>555</v>
      </c>
      <c r="D98" s="137" t="s">
        <v>1552</v>
      </c>
      <c r="E98" s="120">
        <v>50</v>
      </c>
      <c r="F98" s="120">
        <v>0</v>
      </c>
      <c r="G98" s="120">
        <f t="shared" si="1"/>
        <v>-50</v>
      </c>
      <c r="H98" s="137"/>
    </row>
    <row r="99" customHeight="1" spans="1:8">
      <c r="A99" s="179">
        <v>91</v>
      </c>
      <c r="B99" s="179" t="s">
        <v>1549</v>
      </c>
      <c r="C99" s="137" t="s">
        <v>559</v>
      </c>
      <c r="D99" s="137" t="s">
        <v>1553</v>
      </c>
      <c r="E99" s="120">
        <v>200</v>
      </c>
      <c r="F99" s="120">
        <v>0</v>
      </c>
      <c r="G99" s="120">
        <f t="shared" si="1"/>
        <v>-200</v>
      </c>
      <c r="H99" s="137"/>
    </row>
    <row r="100" customHeight="1" spans="1:8">
      <c r="A100" s="179">
        <v>92</v>
      </c>
      <c r="B100" s="179" t="s">
        <v>1549</v>
      </c>
      <c r="C100" s="137" t="s">
        <v>848</v>
      </c>
      <c r="D100" s="137" t="s">
        <v>1554</v>
      </c>
      <c r="E100" s="120">
        <v>300</v>
      </c>
      <c r="F100" s="120">
        <v>0</v>
      </c>
      <c r="G100" s="120">
        <f t="shared" si="1"/>
        <v>-300</v>
      </c>
      <c r="H100" s="137"/>
    </row>
    <row r="101" customHeight="1" spans="1:8">
      <c r="A101" s="179">
        <v>93</v>
      </c>
      <c r="B101" s="179" t="s">
        <v>1549</v>
      </c>
      <c r="C101" s="137" t="s">
        <v>1114</v>
      </c>
      <c r="D101" s="137" t="s">
        <v>1555</v>
      </c>
      <c r="E101" s="120">
        <v>500</v>
      </c>
      <c r="F101" s="120">
        <v>0</v>
      </c>
      <c r="G101" s="120">
        <f t="shared" si="1"/>
        <v>-500</v>
      </c>
      <c r="H101" s="137"/>
    </row>
    <row r="102" customHeight="1" spans="1:8">
      <c r="A102" s="179">
        <v>94</v>
      </c>
      <c r="B102" s="179" t="s">
        <v>1146</v>
      </c>
      <c r="C102" s="137" t="s">
        <v>1114</v>
      </c>
      <c r="D102" s="137" t="s">
        <v>1556</v>
      </c>
      <c r="E102" s="120">
        <v>850</v>
      </c>
      <c r="F102" s="120">
        <v>0</v>
      </c>
      <c r="G102" s="120">
        <f t="shared" si="1"/>
        <v>-850</v>
      </c>
      <c r="H102" s="137"/>
    </row>
    <row r="103" customHeight="1" spans="1:8">
      <c r="A103" s="179">
        <v>95</v>
      </c>
      <c r="B103" s="179" t="s">
        <v>1549</v>
      </c>
      <c r="C103" s="137" t="s">
        <v>848</v>
      </c>
      <c r="D103" s="137" t="s">
        <v>1557</v>
      </c>
      <c r="E103" s="120">
        <v>339.7</v>
      </c>
      <c r="F103" s="120">
        <v>0</v>
      </c>
      <c r="G103" s="120">
        <f t="shared" si="1"/>
        <v>-339.7</v>
      </c>
      <c r="H103" s="137"/>
    </row>
    <row r="104" customHeight="1" spans="1:8">
      <c r="A104" s="179">
        <v>96</v>
      </c>
      <c r="B104" s="179" t="s">
        <v>1549</v>
      </c>
      <c r="C104" s="137" t="s">
        <v>848</v>
      </c>
      <c r="D104" s="137" t="s">
        <v>1558</v>
      </c>
      <c r="E104" s="120">
        <v>200</v>
      </c>
      <c r="F104" s="120">
        <v>0</v>
      </c>
      <c r="G104" s="120">
        <f t="shared" si="1"/>
        <v>-200</v>
      </c>
      <c r="H104" s="137"/>
    </row>
    <row r="105" customHeight="1" spans="1:8">
      <c r="A105" s="179">
        <v>97</v>
      </c>
      <c r="B105" s="179" t="s">
        <v>611</v>
      </c>
      <c r="C105" s="137" t="s">
        <v>1508</v>
      </c>
      <c r="D105" s="137" t="s">
        <v>1559</v>
      </c>
      <c r="E105" s="120">
        <v>199.55</v>
      </c>
      <c r="F105" s="120">
        <v>0</v>
      </c>
      <c r="G105" s="120">
        <f t="shared" si="1"/>
        <v>-199.55</v>
      </c>
      <c r="H105" s="137"/>
    </row>
    <row r="106" customHeight="1" spans="1:8">
      <c r="A106" s="179">
        <v>98</v>
      </c>
      <c r="B106" s="179" t="s">
        <v>611</v>
      </c>
      <c r="C106" s="137" t="s">
        <v>1508</v>
      </c>
      <c r="D106" s="137" t="s">
        <v>1560</v>
      </c>
      <c r="E106" s="120">
        <v>1338.1</v>
      </c>
      <c r="F106" s="120">
        <v>0</v>
      </c>
      <c r="G106" s="120">
        <f t="shared" si="1"/>
        <v>-1338.1</v>
      </c>
      <c r="H106" s="137"/>
    </row>
    <row r="107" customHeight="1" spans="1:8">
      <c r="A107" s="179">
        <v>99</v>
      </c>
      <c r="B107" s="179" t="s">
        <v>611</v>
      </c>
      <c r="C107" s="137" t="s">
        <v>1508</v>
      </c>
      <c r="D107" s="137" t="s">
        <v>1561</v>
      </c>
      <c r="E107" s="120">
        <v>1472</v>
      </c>
      <c r="F107" s="120">
        <v>0</v>
      </c>
      <c r="G107" s="120">
        <f t="shared" si="1"/>
        <v>-1472</v>
      </c>
      <c r="H107" s="137"/>
    </row>
    <row r="108" customHeight="1" spans="1:8">
      <c r="A108" s="179">
        <v>100</v>
      </c>
      <c r="B108" s="179" t="s">
        <v>611</v>
      </c>
      <c r="C108" s="137" t="s">
        <v>585</v>
      </c>
      <c r="D108" s="137" t="s">
        <v>1562</v>
      </c>
      <c r="E108" s="120">
        <v>500</v>
      </c>
      <c r="F108" s="120">
        <v>0</v>
      </c>
      <c r="G108" s="120">
        <f t="shared" si="1"/>
        <v>-500</v>
      </c>
      <c r="H108" s="137"/>
    </row>
    <row r="109" customHeight="1" spans="1:8">
      <c r="A109" s="179">
        <v>101</v>
      </c>
      <c r="B109" s="179" t="s">
        <v>611</v>
      </c>
      <c r="C109" s="137" t="s">
        <v>1563</v>
      </c>
      <c r="D109" s="137" t="s">
        <v>1564</v>
      </c>
      <c r="E109" s="120">
        <v>80</v>
      </c>
      <c r="F109" s="120">
        <v>54.5305</v>
      </c>
      <c r="G109" s="120">
        <f t="shared" si="1"/>
        <v>-25.4695</v>
      </c>
      <c r="H109" s="137" t="s">
        <v>1565</v>
      </c>
    </row>
    <row r="110" customHeight="1" spans="1:8">
      <c r="A110" s="179">
        <v>102</v>
      </c>
      <c r="B110" s="179" t="s">
        <v>611</v>
      </c>
      <c r="C110" s="137" t="s">
        <v>585</v>
      </c>
      <c r="D110" s="137" t="s">
        <v>1566</v>
      </c>
      <c r="E110" s="120">
        <v>17.11</v>
      </c>
      <c r="F110" s="120">
        <v>0</v>
      </c>
      <c r="G110" s="120">
        <f t="shared" si="1"/>
        <v>-17.11</v>
      </c>
      <c r="H110" s="137"/>
    </row>
    <row r="111" customHeight="1" spans="1:8">
      <c r="A111" s="182" t="s">
        <v>1567</v>
      </c>
      <c r="B111" s="183"/>
      <c r="C111" s="183"/>
      <c r="D111" s="184"/>
      <c r="E111" s="185">
        <f>SUM(E55:E110)</f>
        <v>22238.746213</v>
      </c>
      <c r="F111" s="185">
        <f>SUM(F55:F110)</f>
        <v>5091.996432</v>
      </c>
      <c r="G111" s="185">
        <f t="shared" si="1"/>
        <v>-17146.749781</v>
      </c>
      <c r="H111" s="186"/>
    </row>
    <row r="112" customHeight="1" spans="1:8">
      <c r="A112" s="179">
        <v>103</v>
      </c>
      <c r="B112" s="179" t="s">
        <v>598</v>
      </c>
      <c r="C112" s="137" t="s">
        <v>1568</v>
      </c>
      <c r="D112" s="137" t="s">
        <v>1569</v>
      </c>
      <c r="E112" s="120">
        <v>1272.709166</v>
      </c>
      <c r="F112" s="120">
        <v>170</v>
      </c>
      <c r="G112" s="120">
        <f t="shared" si="1"/>
        <v>-1102.709166</v>
      </c>
      <c r="H112" s="137" t="s">
        <v>1570</v>
      </c>
    </row>
    <row r="113" customHeight="1" spans="1:8">
      <c r="A113" s="179">
        <v>104</v>
      </c>
      <c r="B113" s="179" t="s">
        <v>598</v>
      </c>
      <c r="C113" s="137" t="s">
        <v>976</v>
      </c>
      <c r="D113" s="137" t="s">
        <v>1571</v>
      </c>
      <c r="E113" s="120">
        <v>7675.638873</v>
      </c>
      <c r="F113" s="120">
        <v>1690</v>
      </c>
      <c r="G113" s="120">
        <f t="shared" si="1"/>
        <v>-5985.638873</v>
      </c>
      <c r="H113" s="137" t="s">
        <v>1570</v>
      </c>
    </row>
    <row r="114" customHeight="1" spans="1:8">
      <c r="A114" s="179">
        <v>105</v>
      </c>
      <c r="B114" s="179" t="s">
        <v>598</v>
      </c>
      <c r="C114" s="137" t="s">
        <v>848</v>
      </c>
      <c r="D114" s="137" t="s">
        <v>1572</v>
      </c>
      <c r="E114" s="120">
        <v>4550.81747</v>
      </c>
      <c r="F114" s="120">
        <v>990</v>
      </c>
      <c r="G114" s="120">
        <f t="shared" si="1"/>
        <v>-3560.81747</v>
      </c>
      <c r="H114" s="137" t="s">
        <v>1570</v>
      </c>
    </row>
    <row r="115" customHeight="1" spans="1:8">
      <c r="A115" s="179">
        <v>106</v>
      </c>
      <c r="B115" s="179" t="s">
        <v>598</v>
      </c>
      <c r="C115" s="137" t="s">
        <v>585</v>
      </c>
      <c r="D115" s="137" t="s">
        <v>1573</v>
      </c>
      <c r="E115" s="120">
        <v>13292.5</v>
      </c>
      <c r="F115" s="120">
        <v>2692.5</v>
      </c>
      <c r="G115" s="120">
        <f t="shared" si="1"/>
        <v>-10600</v>
      </c>
      <c r="H115" s="137" t="s">
        <v>1570</v>
      </c>
    </row>
    <row r="116" customHeight="1" spans="1:8">
      <c r="A116" s="179">
        <v>107</v>
      </c>
      <c r="B116" s="179" t="s">
        <v>598</v>
      </c>
      <c r="C116" s="137" t="s">
        <v>585</v>
      </c>
      <c r="D116" s="137" t="s">
        <v>1574</v>
      </c>
      <c r="E116" s="120">
        <v>20252.728816</v>
      </c>
      <c r="F116" s="120">
        <v>3557.650135</v>
      </c>
      <c r="G116" s="120">
        <f t="shared" si="1"/>
        <v>-16695.078681</v>
      </c>
      <c r="H116" s="137" t="s">
        <v>1570</v>
      </c>
    </row>
    <row r="117" customHeight="1" spans="1:8">
      <c r="A117" s="179">
        <v>108</v>
      </c>
      <c r="B117" s="179" t="s">
        <v>598</v>
      </c>
      <c r="C117" s="137" t="s">
        <v>1463</v>
      </c>
      <c r="D117" s="137" t="s">
        <v>1575</v>
      </c>
      <c r="E117" s="120">
        <v>191.26</v>
      </c>
      <c r="F117" s="120">
        <v>41.341</v>
      </c>
      <c r="G117" s="120">
        <f t="shared" si="1"/>
        <v>-149.919</v>
      </c>
      <c r="H117" s="137"/>
    </row>
    <row r="118" customHeight="1" spans="1:8">
      <c r="A118" s="179">
        <v>109</v>
      </c>
      <c r="B118" s="179" t="s">
        <v>598</v>
      </c>
      <c r="C118" s="137" t="s">
        <v>573</v>
      </c>
      <c r="D118" s="137" t="s">
        <v>1576</v>
      </c>
      <c r="E118" s="120">
        <v>19.25</v>
      </c>
      <c r="F118" s="120">
        <v>19.25</v>
      </c>
      <c r="G118" s="120">
        <f t="shared" si="1"/>
        <v>0</v>
      </c>
      <c r="H118" s="137"/>
    </row>
    <row r="119" customHeight="1" spans="1:8">
      <c r="A119" s="179">
        <v>110</v>
      </c>
      <c r="B119" s="179" t="s">
        <v>598</v>
      </c>
      <c r="C119" s="137" t="s">
        <v>585</v>
      </c>
      <c r="D119" s="137" t="s">
        <v>1577</v>
      </c>
      <c r="E119" s="120">
        <v>0.668546</v>
      </c>
      <c r="F119" s="120">
        <v>0.668546</v>
      </c>
      <c r="G119" s="120">
        <f t="shared" si="1"/>
        <v>0</v>
      </c>
      <c r="H119" s="137"/>
    </row>
    <row r="120" customHeight="1" spans="1:8">
      <c r="A120" s="179">
        <v>111</v>
      </c>
      <c r="B120" s="179" t="s">
        <v>598</v>
      </c>
      <c r="C120" s="137" t="s">
        <v>585</v>
      </c>
      <c r="D120" s="137" t="s">
        <v>1578</v>
      </c>
      <c r="E120" s="120">
        <v>212.05</v>
      </c>
      <c r="F120" s="120">
        <v>0</v>
      </c>
      <c r="G120" s="120">
        <f t="shared" si="1"/>
        <v>-212.05</v>
      </c>
      <c r="H120" s="137"/>
    </row>
    <row r="121" customHeight="1" spans="1:8">
      <c r="A121" s="179">
        <v>112</v>
      </c>
      <c r="B121" s="179" t="s">
        <v>598</v>
      </c>
      <c r="C121" s="137" t="s">
        <v>585</v>
      </c>
      <c r="D121" s="137" t="s">
        <v>1579</v>
      </c>
      <c r="E121" s="120">
        <v>2000</v>
      </c>
      <c r="F121" s="120">
        <v>1500</v>
      </c>
      <c r="G121" s="120">
        <f t="shared" si="1"/>
        <v>-500</v>
      </c>
      <c r="H121" s="137"/>
    </row>
    <row r="122" customHeight="1" spans="1:8">
      <c r="A122" s="179">
        <v>113</v>
      </c>
      <c r="B122" s="180" t="s">
        <v>598</v>
      </c>
      <c r="C122" s="180" t="s">
        <v>517</v>
      </c>
      <c r="D122" s="137" t="s">
        <v>1580</v>
      </c>
      <c r="E122" s="120">
        <v>610.28</v>
      </c>
      <c r="F122" s="120">
        <v>143.798687</v>
      </c>
      <c r="G122" s="120">
        <f t="shared" si="1"/>
        <v>-466.481313</v>
      </c>
      <c r="H122" s="137"/>
    </row>
    <row r="123" customHeight="1" spans="1:8">
      <c r="A123" s="179">
        <v>114</v>
      </c>
      <c r="B123" s="187"/>
      <c r="C123" s="187"/>
      <c r="D123" s="137" t="s">
        <v>1581</v>
      </c>
      <c r="E123" s="120">
        <v>581.73</v>
      </c>
      <c r="F123" s="120">
        <v>0</v>
      </c>
      <c r="G123" s="120">
        <f t="shared" si="1"/>
        <v>-581.73</v>
      </c>
      <c r="H123" s="137"/>
    </row>
    <row r="124" customHeight="1" spans="1:8">
      <c r="A124" s="179">
        <v>115</v>
      </c>
      <c r="B124" s="187"/>
      <c r="C124" s="187"/>
      <c r="D124" s="137" t="s">
        <v>1582</v>
      </c>
      <c r="E124" s="120">
        <v>440</v>
      </c>
      <c r="F124" s="120">
        <v>0</v>
      </c>
      <c r="G124" s="120">
        <f t="shared" si="1"/>
        <v>-440</v>
      </c>
      <c r="H124" s="137"/>
    </row>
    <row r="125" customHeight="1" spans="1:8">
      <c r="A125" s="179">
        <v>116</v>
      </c>
      <c r="B125" s="181"/>
      <c r="C125" s="181"/>
      <c r="D125" s="137" t="s">
        <v>1583</v>
      </c>
      <c r="E125" s="120">
        <v>360</v>
      </c>
      <c r="F125" s="120">
        <v>160</v>
      </c>
      <c r="G125" s="120">
        <f t="shared" si="1"/>
        <v>-200</v>
      </c>
      <c r="H125" s="137"/>
    </row>
    <row r="126" customHeight="1" spans="1:8">
      <c r="A126" s="182" t="s">
        <v>1584</v>
      </c>
      <c r="B126" s="183"/>
      <c r="C126" s="183"/>
      <c r="D126" s="184"/>
      <c r="E126" s="185">
        <f>SUM(E112:E125)</f>
        <v>51459.632871</v>
      </c>
      <c r="F126" s="185">
        <f>SUM(F112:F125)</f>
        <v>10965.208368</v>
      </c>
      <c r="G126" s="185">
        <f t="shared" si="1"/>
        <v>-40494.424503</v>
      </c>
      <c r="H126" s="186"/>
    </row>
    <row r="127" customHeight="1" spans="1:8">
      <c r="A127" s="179">
        <v>117</v>
      </c>
      <c r="B127" s="179" t="s">
        <v>1549</v>
      </c>
      <c r="C127" s="137" t="s">
        <v>573</v>
      </c>
      <c r="D127" s="137" t="s">
        <v>1585</v>
      </c>
      <c r="E127" s="120">
        <v>76.08</v>
      </c>
      <c r="F127" s="120">
        <v>0</v>
      </c>
      <c r="G127" s="120">
        <f t="shared" si="1"/>
        <v>-76.08</v>
      </c>
      <c r="H127" s="137"/>
    </row>
    <row r="128" customHeight="1" spans="1:8">
      <c r="A128" s="179">
        <v>118</v>
      </c>
      <c r="B128" s="179" t="s">
        <v>611</v>
      </c>
      <c r="C128" s="137" t="s">
        <v>1114</v>
      </c>
      <c r="D128" s="137" t="s">
        <v>1586</v>
      </c>
      <c r="E128" s="120">
        <v>163.13</v>
      </c>
      <c r="F128" s="120">
        <v>0</v>
      </c>
      <c r="G128" s="120">
        <f t="shared" si="1"/>
        <v>-163.13</v>
      </c>
      <c r="H128" s="137"/>
    </row>
    <row r="129" customHeight="1" spans="1:8">
      <c r="A129" s="179">
        <v>119</v>
      </c>
      <c r="B129" s="179" t="s">
        <v>516</v>
      </c>
      <c r="C129" s="137" t="s">
        <v>543</v>
      </c>
      <c r="D129" s="137" t="s">
        <v>1587</v>
      </c>
      <c r="E129" s="120">
        <v>768.6</v>
      </c>
      <c r="F129" s="120">
        <v>768.6</v>
      </c>
      <c r="G129" s="120">
        <f t="shared" si="1"/>
        <v>0</v>
      </c>
      <c r="H129" s="137"/>
    </row>
    <row r="130" customHeight="1" spans="1:8">
      <c r="A130" s="179">
        <v>120</v>
      </c>
      <c r="B130" s="179" t="s">
        <v>516</v>
      </c>
      <c r="C130" s="137" t="s">
        <v>1466</v>
      </c>
      <c r="D130" s="137" t="s">
        <v>1587</v>
      </c>
      <c r="E130" s="120">
        <v>214.7</v>
      </c>
      <c r="F130" s="120">
        <v>214.7</v>
      </c>
      <c r="G130" s="120">
        <f t="shared" si="1"/>
        <v>0</v>
      </c>
      <c r="H130" s="137"/>
    </row>
    <row r="131" customHeight="1" spans="1:8">
      <c r="A131" s="179">
        <v>121</v>
      </c>
      <c r="B131" s="179" t="s">
        <v>516</v>
      </c>
      <c r="C131" s="137" t="s">
        <v>541</v>
      </c>
      <c r="D131" s="137" t="s">
        <v>1587</v>
      </c>
      <c r="E131" s="120">
        <v>339.55</v>
      </c>
      <c r="F131" s="120">
        <v>339.55</v>
      </c>
      <c r="G131" s="120">
        <f t="shared" si="1"/>
        <v>0</v>
      </c>
      <c r="H131" s="137"/>
    </row>
    <row r="132" customHeight="1" spans="1:8">
      <c r="A132" s="179">
        <v>122</v>
      </c>
      <c r="B132" s="179" t="s">
        <v>516</v>
      </c>
      <c r="C132" s="137" t="s">
        <v>547</v>
      </c>
      <c r="D132" s="137" t="s">
        <v>1587</v>
      </c>
      <c r="E132" s="120">
        <v>216</v>
      </c>
      <c r="F132" s="120">
        <v>216</v>
      </c>
      <c r="G132" s="120">
        <f t="shared" si="1"/>
        <v>0</v>
      </c>
      <c r="H132" s="137"/>
    </row>
    <row r="133" customHeight="1" spans="1:8">
      <c r="A133" s="179">
        <v>123</v>
      </c>
      <c r="B133" s="179" t="s">
        <v>516</v>
      </c>
      <c r="C133" s="137" t="s">
        <v>555</v>
      </c>
      <c r="D133" s="137" t="s">
        <v>1587</v>
      </c>
      <c r="E133" s="120">
        <v>261.79</v>
      </c>
      <c r="F133" s="120">
        <v>261.79</v>
      </c>
      <c r="G133" s="120">
        <f t="shared" si="1"/>
        <v>0</v>
      </c>
      <c r="H133" s="137"/>
    </row>
    <row r="134" customHeight="1" spans="1:8">
      <c r="A134" s="179">
        <v>124</v>
      </c>
      <c r="B134" s="179" t="s">
        <v>516</v>
      </c>
      <c r="C134" s="137" t="s">
        <v>559</v>
      </c>
      <c r="D134" s="137" t="s">
        <v>1587</v>
      </c>
      <c r="E134" s="120">
        <v>140.83</v>
      </c>
      <c r="F134" s="120">
        <v>140.83</v>
      </c>
      <c r="G134" s="120">
        <f t="shared" ref="G134:G197" si="2">F134-E134</f>
        <v>0</v>
      </c>
      <c r="H134" s="137"/>
    </row>
    <row r="135" customHeight="1" spans="1:8">
      <c r="A135" s="179">
        <v>125</v>
      </c>
      <c r="B135" s="179" t="s">
        <v>516</v>
      </c>
      <c r="C135" s="137" t="s">
        <v>1588</v>
      </c>
      <c r="D135" s="137" t="s">
        <v>1587</v>
      </c>
      <c r="E135" s="120">
        <v>210.38</v>
      </c>
      <c r="F135" s="120">
        <v>210.38</v>
      </c>
      <c r="G135" s="120">
        <f t="shared" si="2"/>
        <v>0</v>
      </c>
      <c r="H135" s="137"/>
    </row>
    <row r="136" customHeight="1" spans="1:8">
      <c r="A136" s="179">
        <v>126</v>
      </c>
      <c r="B136" s="179" t="s">
        <v>516</v>
      </c>
      <c r="C136" s="137" t="s">
        <v>1114</v>
      </c>
      <c r="D136" s="137" t="s">
        <v>1589</v>
      </c>
      <c r="E136" s="120">
        <v>22600</v>
      </c>
      <c r="F136" s="120">
        <v>22600</v>
      </c>
      <c r="G136" s="120">
        <f t="shared" si="2"/>
        <v>0</v>
      </c>
      <c r="H136" s="137"/>
    </row>
    <row r="137" customHeight="1" spans="1:8">
      <c r="A137" s="179">
        <v>127</v>
      </c>
      <c r="B137" s="179" t="s">
        <v>516</v>
      </c>
      <c r="C137" s="137" t="s">
        <v>1114</v>
      </c>
      <c r="D137" s="137" t="s">
        <v>1590</v>
      </c>
      <c r="E137" s="120">
        <v>3784.976</v>
      </c>
      <c r="F137" s="120">
        <v>3784.976</v>
      </c>
      <c r="G137" s="120">
        <f t="shared" si="2"/>
        <v>0</v>
      </c>
      <c r="H137" s="137"/>
    </row>
    <row r="138" customHeight="1" spans="1:8">
      <c r="A138" s="179">
        <v>128</v>
      </c>
      <c r="B138" s="179" t="s">
        <v>516</v>
      </c>
      <c r="C138" s="137" t="s">
        <v>1114</v>
      </c>
      <c r="D138" s="137" t="s">
        <v>1591</v>
      </c>
      <c r="E138" s="120">
        <v>1037.6</v>
      </c>
      <c r="F138" s="120">
        <v>1037.6</v>
      </c>
      <c r="G138" s="120">
        <f t="shared" si="2"/>
        <v>0</v>
      </c>
      <c r="H138" s="137"/>
    </row>
    <row r="139" customHeight="1" spans="1:8">
      <c r="A139" s="179">
        <v>129</v>
      </c>
      <c r="B139" s="179" t="s">
        <v>516</v>
      </c>
      <c r="C139" s="137" t="s">
        <v>1114</v>
      </c>
      <c r="D139" s="137" t="s">
        <v>1592</v>
      </c>
      <c r="E139" s="120">
        <v>6683.15</v>
      </c>
      <c r="F139" s="120">
        <v>6683.15</v>
      </c>
      <c r="G139" s="120">
        <f t="shared" si="2"/>
        <v>0</v>
      </c>
      <c r="H139" s="137"/>
    </row>
    <row r="140" customHeight="1" spans="1:8">
      <c r="A140" s="179">
        <v>130</v>
      </c>
      <c r="B140" s="179" t="s">
        <v>516</v>
      </c>
      <c r="C140" s="137" t="s">
        <v>1114</v>
      </c>
      <c r="D140" s="137" t="s">
        <v>1593</v>
      </c>
      <c r="E140" s="120">
        <v>12.7</v>
      </c>
      <c r="F140" s="120">
        <v>12.45205</v>
      </c>
      <c r="G140" s="120">
        <f t="shared" si="2"/>
        <v>-0.247949999999999</v>
      </c>
      <c r="H140" s="137"/>
    </row>
    <row r="141" customHeight="1" spans="1:8">
      <c r="A141" s="179">
        <v>131</v>
      </c>
      <c r="B141" s="179" t="s">
        <v>516</v>
      </c>
      <c r="C141" s="137" t="s">
        <v>1114</v>
      </c>
      <c r="D141" s="137" t="s">
        <v>1594</v>
      </c>
      <c r="E141" s="120">
        <v>0.1</v>
      </c>
      <c r="F141" s="120">
        <v>0.05188</v>
      </c>
      <c r="G141" s="120">
        <f t="shared" si="2"/>
        <v>-0.04812</v>
      </c>
      <c r="H141" s="137"/>
    </row>
    <row r="142" customHeight="1" spans="1:8">
      <c r="A142" s="179">
        <v>132</v>
      </c>
      <c r="B142" s="179" t="s">
        <v>516</v>
      </c>
      <c r="C142" s="137" t="s">
        <v>1114</v>
      </c>
      <c r="D142" s="137" t="s">
        <v>1595</v>
      </c>
      <c r="E142" s="120">
        <v>109.7</v>
      </c>
      <c r="F142" s="120">
        <v>139.502158</v>
      </c>
      <c r="G142" s="120">
        <f t="shared" si="2"/>
        <v>29.802158</v>
      </c>
      <c r="H142" s="137" t="s">
        <v>1596</v>
      </c>
    </row>
    <row r="143" customHeight="1" spans="1:8">
      <c r="A143" s="179">
        <v>133</v>
      </c>
      <c r="B143" s="179" t="s">
        <v>653</v>
      </c>
      <c r="C143" s="137" t="s">
        <v>1463</v>
      </c>
      <c r="D143" s="137" t="s">
        <v>1597</v>
      </c>
      <c r="E143" s="120">
        <v>5</v>
      </c>
      <c r="F143" s="120">
        <v>5</v>
      </c>
      <c r="G143" s="120">
        <f t="shared" si="2"/>
        <v>0</v>
      </c>
      <c r="H143" s="137"/>
    </row>
    <row r="144" customHeight="1" spans="1:8">
      <c r="A144" s="179">
        <v>134</v>
      </c>
      <c r="B144" s="179" t="s">
        <v>653</v>
      </c>
      <c r="C144" s="137" t="s">
        <v>1463</v>
      </c>
      <c r="D144" s="137" t="s">
        <v>1598</v>
      </c>
      <c r="E144" s="120">
        <v>5</v>
      </c>
      <c r="F144" s="120">
        <v>5</v>
      </c>
      <c r="G144" s="120">
        <f t="shared" si="2"/>
        <v>0</v>
      </c>
      <c r="H144" s="137"/>
    </row>
    <row r="145" customHeight="1" spans="1:8">
      <c r="A145" s="179">
        <v>135</v>
      </c>
      <c r="B145" s="179" t="s">
        <v>1437</v>
      </c>
      <c r="C145" s="137" t="s">
        <v>573</v>
      </c>
      <c r="D145" s="137" t="s">
        <v>456</v>
      </c>
      <c r="E145" s="120">
        <v>99</v>
      </c>
      <c r="F145" s="120">
        <v>30.95</v>
      </c>
      <c r="G145" s="120">
        <f t="shared" si="2"/>
        <v>-68.05</v>
      </c>
      <c r="H145" s="137" t="s">
        <v>1599</v>
      </c>
    </row>
    <row r="146" customHeight="1" spans="1:8">
      <c r="A146" s="179">
        <v>136</v>
      </c>
      <c r="B146" s="179" t="s">
        <v>1437</v>
      </c>
      <c r="C146" s="137" t="s">
        <v>573</v>
      </c>
      <c r="D146" s="137" t="s">
        <v>1600</v>
      </c>
      <c r="E146" s="120">
        <v>150</v>
      </c>
      <c r="F146" s="120">
        <v>60.34</v>
      </c>
      <c r="G146" s="120">
        <f t="shared" si="2"/>
        <v>-89.66</v>
      </c>
      <c r="H146" s="137"/>
    </row>
    <row r="147" customHeight="1" spans="1:8">
      <c r="A147" s="179">
        <v>137</v>
      </c>
      <c r="B147" s="179" t="s">
        <v>1437</v>
      </c>
      <c r="C147" s="137" t="s">
        <v>573</v>
      </c>
      <c r="D147" s="137" t="s">
        <v>1601</v>
      </c>
      <c r="E147" s="120">
        <v>1500</v>
      </c>
      <c r="F147" s="120">
        <v>0</v>
      </c>
      <c r="G147" s="120">
        <f t="shared" si="2"/>
        <v>-1500</v>
      </c>
      <c r="H147" s="137"/>
    </row>
    <row r="148" customHeight="1" spans="1:8">
      <c r="A148" s="179">
        <v>138</v>
      </c>
      <c r="B148" s="179" t="s">
        <v>1437</v>
      </c>
      <c r="C148" s="137" t="s">
        <v>573</v>
      </c>
      <c r="D148" s="137" t="s">
        <v>1602</v>
      </c>
      <c r="E148" s="120">
        <v>11</v>
      </c>
      <c r="F148" s="120">
        <v>0</v>
      </c>
      <c r="G148" s="120">
        <f t="shared" si="2"/>
        <v>-11</v>
      </c>
      <c r="H148" s="137"/>
    </row>
    <row r="149" customHeight="1" spans="1:8">
      <c r="A149" s="179">
        <v>139</v>
      </c>
      <c r="B149" s="179" t="s">
        <v>1437</v>
      </c>
      <c r="C149" s="137" t="s">
        <v>573</v>
      </c>
      <c r="D149" s="137" t="s">
        <v>1603</v>
      </c>
      <c r="E149" s="120">
        <v>20</v>
      </c>
      <c r="F149" s="120">
        <v>0</v>
      </c>
      <c r="G149" s="120">
        <f t="shared" si="2"/>
        <v>-20</v>
      </c>
      <c r="H149" s="137"/>
    </row>
    <row r="150" customHeight="1" spans="1:8">
      <c r="A150" s="179">
        <v>140</v>
      </c>
      <c r="B150" s="179" t="s">
        <v>1437</v>
      </c>
      <c r="C150" s="137" t="s">
        <v>573</v>
      </c>
      <c r="D150" s="137" t="s">
        <v>1604</v>
      </c>
      <c r="E150" s="120">
        <v>50</v>
      </c>
      <c r="F150" s="120">
        <v>0</v>
      </c>
      <c r="G150" s="120">
        <f t="shared" si="2"/>
        <v>-50</v>
      </c>
      <c r="H150" s="137"/>
    </row>
    <row r="151" customHeight="1" spans="1:8">
      <c r="A151" s="179">
        <v>141</v>
      </c>
      <c r="B151" s="179" t="s">
        <v>1437</v>
      </c>
      <c r="C151" s="137" t="s">
        <v>573</v>
      </c>
      <c r="D151" s="137" t="s">
        <v>1605</v>
      </c>
      <c r="E151" s="120">
        <v>18.53</v>
      </c>
      <c r="F151" s="120">
        <v>0</v>
      </c>
      <c r="G151" s="120">
        <f t="shared" si="2"/>
        <v>-18.53</v>
      </c>
      <c r="H151" s="137"/>
    </row>
    <row r="152" customHeight="1" spans="1:8">
      <c r="A152" s="179">
        <v>142</v>
      </c>
      <c r="B152" s="179" t="s">
        <v>1437</v>
      </c>
      <c r="C152" s="137" t="s">
        <v>573</v>
      </c>
      <c r="D152" s="137" t="s">
        <v>1606</v>
      </c>
      <c r="E152" s="120">
        <v>65.74</v>
      </c>
      <c r="F152" s="120">
        <v>0</v>
      </c>
      <c r="G152" s="120">
        <f t="shared" si="2"/>
        <v>-65.74</v>
      </c>
      <c r="H152" s="137"/>
    </row>
    <row r="153" customHeight="1" spans="1:8">
      <c r="A153" s="179">
        <v>143</v>
      </c>
      <c r="B153" s="179" t="s">
        <v>1437</v>
      </c>
      <c r="C153" s="137" t="s">
        <v>573</v>
      </c>
      <c r="D153" s="137" t="s">
        <v>1607</v>
      </c>
      <c r="E153" s="120">
        <v>19</v>
      </c>
      <c r="F153" s="120">
        <v>0</v>
      </c>
      <c r="G153" s="120">
        <f t="shared" si="2"/>
        <v>-19</v>
      </c>
      <c r="H153" s="137"/>
    </row>
    <row r="154" customHeight="1" spans="1:8">
      <c r="A154" s="179">
        <v>144</v>
      </c>
      <c r="B154" s="179" t="s">
        <v>1437</v>
      </c>
      <c r="C154" s="137" t="s">
        <v>573</v>
      </c>
      <c r="D154" s="137" t="s">
        <v>1608</v>
      </c>
      <c r="E154" s="120">
        <v>66.92</v>
      </c>
      <c r="F154" s="120">
        <v>10</v>
      </c>
      <c r="G154" s="120">
        <f t="shared" si="2"/>
        <v>-56.92</v>
      </c>
      <c r="H154" s="137"/>
    </row>
    <row r="155" customHeight="1" spans="1:8">
      <c r="A155" s="179">
        <v>145</v>
      </c>
      <c r="B155" s="179" t="s">
        <v>1437</v>
      </c>
      <c r="C155" s="137" t="s">
        <v>573</v>
      </c>
      <c r="D155" s="137" t="s">
        <v>1609</v>
      </c>
      <c r="E155" s="120">
        <v>50</v>
      </c>
      <c r="F155" s="120">
        <v>0</v>
      </c>
      <c r="G155" s="120">
        <f t="shared" si="2"/>
        <v>-50</v>
      </c>
      <c r="H155" s="137"/>
    </row>
    <row r="156" customHeight="1" spans="1:8">
      <c r="A156" s="179">
        <v>146</v>
      </c>
      <c r="B156" s="179" t="s">
        <v>1437</v>
      </c>
      <c r="C156" s="137" t="s">
        <v>573</v>
      </c>
      <c r="D156" s="137" t="s">
        <v>1610</v>
      </c>
      <c r="E156" s="120">
        <v>200</v>
      </c>
      <c r="F156" s="120">
        <v>5</v>
      </c>
      <c r="G156" s="120">
        <f t="shared" si="2"/>
        <v>-195</v>
      </c>
      <c r="H156" s="137"/>
    </row>
    <row r="157" customHeight="1" spans="1:8">
      <c r="A157" s="179">
        <v>147</v>
      </c>
      <c r="B157" s="179" t="s">
        <v>1437</v>
      </c>
      <c r="C157" s="137" t="s">
        <v>573</v>
      </c>
      <c r="D157" s="137" t="s">
        <v>1611</v>
      </c>
      <c r="E157" s="120">
        <v>30</v>
      </c>
      <c r="F157" s="120">
        <v>0</v>
      </c>
      <c r="G157" s="120">
        <f t="shared" si="2"/>
        <v>-30</v>
      </c>
      <c r="H157" s="137"/>
    </row>
    <row r="158" customHeight="1" spans="1:8">
      <c r="A158" s="179">
        <v>148</v>
      </c>
      <c r="B158" s="179" t="s">
        <v>1437</v>
      </c>
      <c r="C158" s="137" t="s">
        <v>573</v>
      </c>
      <c r="D158" s="137" t="s">
        <v>1612</v>
      </c>
      <c r="E158" s="120">
        <v>63</v>
      </c>
      <c r="F158" s="120">
        <v>30</v>
      </c>
      <c r="G158" s="120">
        <f t="shared" si="2"/>
        <v>-33</v>
      </c>
      <c r="H158" s="137"/>
    </row>
    <row r="159" customHeight="1" spans="1:8">
      <c r="A159" s="179">
        <v>149</v>
      </c>
      <c r="B159" s="179" t="s">
        <v>1437</v>
      </c>
      <c r="C159" s="137" t="s">
        <v>573</v>
      </c>
      <c r="D159" s="137" t="s">
        <v>1613</v>
      </c>
      <c r="E159" s="120">
        <v>90</v>
      </c>
      <c r="F159" s="120">
        <v>0</v>
      </c>
      <c r="G159" s="120">
        <f t="shared" si="2"/>
        <v>-90</v>
      </c>
      <c r="H159" s="137"/>
    </row>
    <row r="160" customHeight="1" spans="1:8">
      <c r="A160" s="179">
        <v>150</v>
      </c>
      <c r="B160" s="179" t="s">
        <v>1437</v>
      </c>
      <c r="C160" s="137" t="s">
        <v>573</v>
      </c>
      <c r="D160" s="137" t="s">
        <v>1614</v>
      </c>
      <c r="E160" s="120">
        <v>11.2</v>
      </c>
      <c r="F160" s="120">
        <v>11.2</v>
      </c>
      <c r="G160" s="120">
        <f t="shared" si="2"/>
        <v>0</v>
      </c>
      <c r="H160" s="137" t="s">
        <v>1615</v>
      </c>
    </row>
    <row r="161" customHeight="1" spans="1:8">
      <c r="A161" s="179">
        <v>151</v>
      </c>
      <c r="B161" s="179" t="s">
        <v>1437</v>
      </c>
      <c r="C161" s="137" t="s">
        <v>573</v>
      </c>
      <c r="D161" s="137" t="s">
        <v>1616</v>
      </c>
      <c r="E161" s="120">
        <v>100</v>
      </c>
      <c r="F161" s="120">
        <v>0</v>
      </c>
      <c r="G161" s="120">
        <f t="shared" si="2"/>
        <v>-100</v>
      </c>
      <c r="H161" s="137"/>
    </row>
    <row r="162" customHeight="1" spans="1:8">
      <c r="A162" s="179">
        <v>152</v>
      </c>
      <c r="B162" s="179" t="s">
        <v>1437</v>
      </c>
      <c r="C162" s="137" t="s">
        <v>573</v>
      </c>
      <c r="D162" s="137" t="s">
        <v>1617</v>
      </c>
      <c r="E162" s="120">
        <v>40</v>
      </c>
      <c r="F162" s="120">
        <v>30</v>
      </c>
      <c r="G162" s="120">
        <f t="shared" si="2"/>
        <v>-10</v>
      </c>
      <c r="H162" s="137"/>
    </row>
    <row r="163" customHeight="1" spans="1:8">
      <c r="A163" s="179">
        <v>153</v>
      </c>
      <c r="B163" s="179" t="s">
        <v>1437</v>
      </c>
      <c r="C163" s="137" t="s">
        <v>573</v>
      </c>
      <c r="D163" s="137" t="s">
        <v>1618</v>
      </c>
      <c r="E163" s="120">
        <v>50</v>
      </c>
      <c r="F163" s="120">
        <v>45</v>
      </c>
      <c r="G163" s="120">
        <f t="shared" si="2"/>
        <v>-5</v>
      </c>
      <c r="H163" s="137"/>
    </row>
    <row r="164" customHeight="1" spans="1:8">
      <c r="A164" s="179">
        <v>154</v>
      </c>
      <c r="B164" s="179" t="s">
        <v>1437</v>
      </c>
      <c r="C164" s="137" t="s">
        <v>573</v>
      </c>
      <c r="D164" s="137" t="s">
        <v>1619</v>
      </c>
      <c r="E164" s="120">
        <v>28.8</v>
      </c>
      <c r="F164" s="120">
        <v>10</v>
      </c>
      <c r="G164" s="120">
        <f t="shared" si="2"/>
        <v>-18.8</v>
      </c>
      <c r="H164" s="137"/>
    </row>
    <row r="165" customHeight="1" spans="1:8">
      <c r="A165" s="179">
        <v>155</v>
      </c>
      <c r="B165" s="179" t="s">
        <v>1437</v>
      </c>
      <c r="C165" s="137" t="s">
        <v>573</v>
      </c>
      <c r="D165" s="137" t="s">
        <v>1620</v>
      </c>
      <c r="E165" s="120">
        <v>40</v>
      </c>
      <c r="F165" s="120">
        <v>4</v>
      </c>
      <c r="G165" s="120">
        <f t="shared" si="2"/>
        <v>-36</v>
      </c>
      <c r="H165" s="137"/>
    </row>
    <row r="166" customHeight="1" spans="1:8">
      <c r="A166" s="179">
        <v>156</v>
      </c>
      <c r="B166" s="179" t="s">
        <v>1437</v>
      </c>
      <c r="C166" s="137" t="s">
        <v>573</v>
      </c>
      <c r="D166" s="137" t="s">
        <v>1621</v>
      </c>
      <c r="E166" s="120">
        <v>80</v>
      </c>
      <c r="F166" s="120">
        <v>0</v>
      </c>
      <c r="G166" s="120">
        <f t="shared" si="2"/>
        <v>-80</v>
      </c>
      <c r="H166" s="137"/>
    </row>
    <row r="167" customHeight="1" spans="1:8">
      <c r="A167" s="179">
        <v>157</v>
      </c>
      <c r="B167" s="179" t="s">
        <v>1437</v>
      </c>
      <c r="C167" s="137" t="s">
        <v>573</v>
      </c>
      <c r="D167" s="137" t="s">
        <v>1622</v>
      </c>
      <c r="E167" s="120">
        <v>92</v>
      </c>
      <c r="F167" s="120">
        <v>45.5</v>
      </c>
      <c r="G167" s="120">
        <f t="shared" si="2"/>
        <v>-46.5</v>
      </c>
      <c r="H167" s="137"/>
    </row>
    <row r="168" customHeight="1" spans="1:8">
      <c r="A168" s="179">
        <v>158</v>
      </c>
      <c r="B168" s="179" t="s">
        <v>1437</v>
      </c>
      <c r="C168" s="137" t="s">
        <v>573</v>
      </c>
      <c r="D168" s="137" t="s">
        <v>1623</v>
      </c>
      <c r="E168" s="120">
        <v>149</v>
      </c>
      <c r="F168" s="120">
        <v>110</v>
      </c>
      <c r="G168" s="120">
        <f t="shared" si="2"/>
        <v>-39</v>
      </c>
      <c r="H168" s="137"/>
    </row>
    <row r="169" customHeight="1" spans="1:8">
      <c r="A169" s="179">
        <v>159</v>
      </c>
      <c r="B169" s="179" t="s">
        <v>1437</v>
      </c>
      <c r="C169" s="137" t="s">
        <v>573</v>
      </c>
      <c r="D169" s="137" t="s">
        <v>1624</v>
      </c>
      <c r="E169" s="120">
        <v>10</v>
      </c>
      <c r="F169" s="120">
        <v>5.2</v>
      </c>
      <c r="G169" s="120">
        <f t="shared" si="2"/>
        <v>-4.8</v>
      </c>
      <c r="H169" s="137"/>
    </row>
    <row r="170" customHeight="1" spans="1:8">
      <c r="A170" s="179">
        <v>160</v>
      </c>
      <c r="B170" s="179" t="s">
        <v>1437</v>
      </c>
      <c r="C170" s="137" t="s">
        <v>573</v>
      </c>
      <c r="D170" s="137" t="s">
        <v>1625</v>
      </c>
      <c r="E170" s="120">
        <v>60</v>
      </c>
      <c r="F170" s="120">
        <v>6.42</v>
      </c>
      <c r="G170" s="120">
        <f t="shared" si="2"/>
        <v>-53.58</v>
      </c>
      <c r="H170" s="137"/>
    </row>
    <row r="171" customHeight="1" spans="1:8">
      <c r="A171" s="179">
        <v>161</v>
      </c>
      <c r="B171" s="179" t="s">
        <v>1437</v>
      </c>
      <c r="C171" s="137" t="s">
        <v>1438</v>
      </c>
      <c r="D171" s="137" t="s">
        <v>1626</v>
      </c>
      <c r="E171" s="120">
        <v>60</v>
      </c>
      <c r="F171" s="120">
        <v>20</v>
      </c>
      <c r="G171" s="120">
        <f t="shared" si="2"/>
        <v>-40</v>
      </c>
      <c r="H171" s="137"/>
    </row>
    <row r="172" customHeight="1" spans="1:8">
      <c r="A172" s="179">
        <v>162</v>
      </c>
      <c r="B172" s="179" t="s">
        <v>1437</v>
      </c>
      <c r="C172" s="137" t="s">
        <v>1438</v>
      </c>
      <c r="D172" s="137" t="s">
        <v>1627</v>
      </c>
      <c r="E172" s="120">
        <v>2</v>
      </c>
      <c r="F172" s="120">
        <v>2</v>
      </c>
      <c r="G172" s="120">
        <f t="shared" si="2"/>
        <v>0</v>
      </c>
      <c r="H172" s="137"/>
    </row>
    <row r="173" customHeight="1" spans="1:8">
      <c r="A173" s="179">
        <v>163</v>
      </c>
      <c r="B173" s="179" t="s">
        <v>1437</v>
      </c>
      <c r="C173" s="137" t="s">
        <v>1438</v>
      </c>
      <c r="D173" s="137" t="s">
        <v>1628</v>
      </c>
      <c r="E173" s="120">
        <v>35</v>
      </c>
      <c r="F173" s="120">
        <v>35</v>
      </c>
      <c r="G173" s="120">
        <f t="shared" si="2"/>
        <v>0</v>
      </c>
      <c r="H173" s="137"/>
    </row>
    <row r="174" customHeight="1" spans="1:8">
      <c r="A174" s="179">
        <v>164</v>
      </c>
      <c r="B174" s="179" t="s">
        <v>1437</v>
      </c>
      <c r="C174" s="137" t="s">
        <v>1438</v>
      </c>
      <c r="D174" s="137" t="s">
        <v>1629</v>
      </c>
      <c r="E174" s="120">
        <v>16</v>
      </c>
      <c r="F174" s="120">
        <v>6.5591</v>
      </c>
      <c r="G174" s="120">
        <f t="shared" si="2"/>
        <v>-9.4409</v>
      </c>
      <c r="H174" s="137"/>
    </row>
    <row r="175" customHeight="1" spans="1:8">
      <c r="A175" s="179">
        <v>165</v>
      </c>
      <c r="B175" s="179" t="s">
        <v>1437</v>
      </c>
      <c r="C175" s="137" t="s">
        <v>1438</v>
      </c>
      <c r="D175" s="137" t="s">
        <v>1630</v>
      </c>
      <c r="E175" s="120">
        <v>10.12</v>
      </c>
      <c r="F175" s="120">
        <v>9.93</v>
      </c>
      <c r="G175" s="120">
        <f t="shared" si="2"/>
        <v>-0.19</v>
      </c>
      <c r="H175" s="137"/>
    </row>
    <row r="176" customHeight="1" spans="1:8">
      <c r="A176" s="179">
        <v>166</v>
      </c>
      <c r="B176" s="179" t="s">
        <v>1437</v>
      </c>
      <c r="C176" s="137" t="s">
        <v>1438</v>
      </c>
      <c r="D176" s="137" t="s">
        <v>1631</v>
      </c>
      <c r="E176" s="120">
        <v>20</v>
      </c>
      <c r="F176" s="120">
        <v>17</v>
      </c>
      <c r="G176" s="120">
        <f t="shared" si="2"/>
        <v>-3</v>
      </c>
      <c r="H176" s="137"/>
    </row>
    <row r="177" customHeight="1" spans="1:8">
      <c r="A177" s="179">
        <v>167</v>
      </c>
      <c r="B177" s="179" t="s">
        <v>653</v>
      </c>
      <c r="C177" s="137" t="s">
        <v>541</v>
      </c>
      <c r="D177" s="137" t="s">
        <v>1632</v>
      </c>
      <c r="E177" s="120">
        <v>57.74</v>
      </c>
      <c r="F177" s="120">
        <v>0</v>
      </c>
      <c r="G177" s="120">
        <f t="shared" si="2"/>
        <v>-57.74</v>
      </c>
      <c r="H177" s="137"/>
    </row>
    <row r="178" customHeight="1" spans="1:8">
      <c r="A178" s="182" t="s">
        <v>1633</v>
      </c>
      <c r="B178" s="183"/>
      <c r="C178" s="183"/>
      <c r="D178" s="184"/>
      <c r="E178" s="185">
        <f>SUM(E127:E177)</f>
        <v>39924.336</v>
      </c>
      <c r="F178" s="185">
        <f>SUM(F127:F177)</f>
        <v>36913.681188</v>
      </c>
      <c r="G178" s="185">
        <f t="shared" si="2"/>
        <v>-3010.65481200001</v>
      </c>
      <c r="H178" s="186"/>
    </row>
    <row r="179" customHeight="1" spans="1:8">
      <c r="A179" s="179">
        <v>168</v>
      </c>
      <c r="B179" s="179" t="s">
        <v>1437</v>
      </c>
      <c r="C179" s="137" t="s">
        <v>1114</v>
      </c>
      <c r="D179" s="137" t="s">
        <v>1634</v>
      </c>
      <c r="E179" s="120">
        <v>5000</v>
      </c>
      <c r="F179" s="120">
        <v>4545.2508</v>
      </c>
      <c r="G179" s="120">
        <f t="shared" si="2"/>
        <v>-454.7492</v>
      </c>
      <c r="H179" s="137"/>
    </row>
    <row r="180" customHeight="1" spans="1:8">
      <c r="A180" s="179">
        <v>169</v>
      </c>
      <c r="B180" s="179" t="s">
        <v>598</v>
      </c>
      <c r="C180" s="137" t="s">
        <v>1114</v>
      </c>
      <c r="D180" s="137" t="s">
        <v>1635</v>
      </c>
      <c r="E180" s="120">
        <v>100</v>
      </c>
      <c r="F180" s="120">
        <v>0</v>
      </c>
      <c r="G180" s="120">
        <f t="shared" si="2"/>
        <v>-100</v>
      </c>
      <c r="H180" s="137"/>
    </row>
    <row r="181" customHeight="1" spans="1:8">
      <c r="A181" s="179">
        <v>170</v>
      </c>
      <c r="B181" s="179" t="s">
        <v>611</v>
      </c>
      <c r="C181" s="137" t="s">
        <v>1114</v>
      </c>
      <c r="D181" s="137" t="s">
        <v>1636</v>
      </c>
      <c r="E181" s="120">
        <v>3000</v>
      </c>
      <c r="F181" s="120">
        <v>1323.95</v>
      </c>
      <c r="G181" s="120">
        <f t="shared" si="2"/>
        <v>-1676.05</v>
      </c>
      <c r="H181" s="137"/>
    </row>
    <row r="182" customHeight="1" spans="1:8">
      <c r="A182" s="182" t="s">
        <v>1637</v>
      </c>
      <c r="B182" s="183"/>
      <c r="C182" s="183"/>
      <c r="D182" s="184"/>
      <c r="E182" s="185">
        <f>SUM(E179:E181)</f>
        <v>8100</v>
      </c>
      <c r="F182" s="185">
        <f>SUM(F179:F181)</f>
        <v>5869.2008</v>
      </c>
      <c r="G182" s="185">
        <f t="shared" si="2"/>
        <v>-2230.7992</v>
      </c>
      <c r="H182" s="186"/>
    </row>
    <row r="183" customHeight="1" spans="1:8">
      <c r="A183" s="182" t="s">
        <v>1305</v>
      </c>
      <c r="B183" s="183"/>
      <c r="C183" s="183"/>
      <c r="D183" s="184"/>
      <c r="E183" s="185">
        <f>SUM(E6:E182)/2</f>
        <v>194778.200684</v>
      </c>
      <c r="F183" s="185">
        <f>SUM(F6:F182)/2</f>
        <v>81742.635183</v>
      </c>
      <c r="G183" s="185">
        <f t="shared" si="2"/>
        <v>-113035.565501</v>
      </c>
      <c r="H183" s="186"/>
    </row>
    <row r="184" customHeight="1" spans="1:8">
      <c r="A184" s="179">
        <v>171</v>
      </c>
      <c r="B184" s="179" t="s">
        <v>653</v>
      </c>
      <c r="C184" s="137" t="s">
        <v>1463</v>
      </c>
      <c r="D184" s="137" t="s">
        <v>1638</v>
      </c>
      <c r="E184" s="120">
        <v>69.48</v>
      </c>
      <c r="F184" s="120">
        <v>69.470822</v>
      </c>
      <c r="G184" s="120">
        <f t="shared" si="2"/>
        <v>-0.00917800000000568</v>
      </c>
      <c r="H184" s="137"/>
    </row>
    <row r="185" customHeight="1" spans="1:8">
      <c r="A185" s="179">
        <v>172</v>
      </c>
      <c r="B185" s="179" t="s">
        <v>653</v>
      </c>
      <c r="C185" s="137" t="s">
        <v>1103</v>
      </c>
      <c r="D185" s="137" t="s">
        <v>1639</v>
      </c>
      <c r="E185" s="120">
        <v>800</v>
      </c>
      <c r="F185" s="120">
        <v>570.772113</v>
      </c>
      <c r="G185" s="120">
        <f t="shared" si="2"/>
        <v>-229.227887</v>
      </c>
      <c r="H185" s="137"/>
    </row>
    <row r="186" customHeight="1" spans="1:8">
      <c r="A186" s="179">
        <v>173</v>
      </c>
      <c r="B186" s="179" t="s">
        <v>653</v>
      </c>
      <c r="C186" s="137" t="s">
        <v>1103</v>
      </c>
      <c r="D186" s="137" t="s">
        <v>1640</v>
      </c>
      <c r="E186" s="120">
        <v>25</v>
      </c>
      <c r="F186" s="120">
        <v>24.9963</v>
      </c>
      <c r="G186" s="120">
        <f t="shared" si="2"/>
        <v>-0.00369999999999848</v>
      </c>
      <c r="H186" s="137"/>
    </row>
    <row r="187" customHeight="1" spans="1:8">
      <c r="A187" s="179">
        <v>174</v>
      </c>
      <c r="B187" s="179" t="s">
        <v>653</v>
      </c>
      <c r="C187" s="137" t="s">
        <v>1092</v>
      </c>
      <c r="D187" s="137" t="s">
        <v>1641</v>
      </c>
      <c r="E187" s="120">
        <v>1700</v>
      </c>
      <c r="F187" s="120">
        <v>1105.44</v>
      </c>
      <c r="G187" s="120">
        <f t="shared" si="2"/>
        <v>-594.56</v>
      </c>
      <c r="H187" s="137"/>
    </row>
    <row r="188" customHeight="1" spans="1:8">
      <c r="A188" s="179">
        <v>175</v>
      </c>
      <c r="B188" s="179" t="s">
        <v>653</v>
      </c>
      <c r="C188" s="137" t="s">
        <v>1092</v>
      </c>
      <c r="D188" s="137" t="s">
        <v>1642</v>
      </c>
      <c r="E188" s="120">
        <v>2000</v>
      </c>
      <c r="F188" s="120">
        <v>1641.628412</v>
      </c>
      <c r="G188" s="120">
        <f t="shared" si="2"/>
        <v>-358.371588</v>
      </c>
      <c r="H188" s="137"/>
    </row>
    <row r="189" customHeight="1" spans="1:8">
      <c r="A189" s="179">
        <v>176</v>
      </c>
      <c r="B189" s="179" t="s">
        <v>653</v>
      </c>
      <c r="C189" s="137" t="s">
        <v>1092</v>
      </c>
      <c r="D189" s="137" t="s">
        <v>1643</v>
      </c>
      <c r="E189" s="120">
        <v>950</v>
      </c>
      <c r="F189" s="120">
        <v>924.188333</v>
      </c>
      <c r="G189" s="120">
        <f t="shared" si="2"/>
        <v>-25.8116670000001</v>
      </c>
      <c r="H189" s="137"/>
    </row>
    <row r="190" customHeight="1" spans="1:8">
      <c r="A190" s="179">
        <v>177</v>
      </c>
      <c r="B190" s="179" t="s">
        <v>653</v>
      </c>
      <c r="C190" s="137" t="s">
        <v>1092</v>
      </c>
      <c r="D190" s="137" t="s">
        <v>1644</v>
      </c>
      <c r="E190" s="120">
        <v>350</v>
      </c>
      <c r="F190" s="120">
        <v>339.729795</v>
      </c>
      <c r="G190" s="120">
        <f t="shared" si="2"/>
        <v>-10.270205</v>
      </c>
      <c r="H190" s="137"/>
    </row>
    <row r="191" customHeight="1" spans="1:8">
      <c r="A191" s="179">
        <v>178</v>
      </c>
      <c r="B191" s="179" t="s">
        <v>653</v>
      </c>
      <c r="C191" s="137" t="s">
        <v>1092</v>
      </c>
      <c r="D191" s="137" t="s">
        <v>1645</v>
      </c>
      <c r="E191" s="120">
        <v>502</v>
      </c>
      <c r="F191" s="120">
        <v>396.110665</v>
      </c>
      <c r="G191" s="120">
        <f t="shared" si="2"/>
        <v>-105.889335</v>
      </c>
      <c r="H191" s="137"/>
    </row>
    <row r="192" customHeight="1" spans="1:8">
      <c r="A192" s="179">
        <v>179</v>
      </c>
      <c r="B192" s="179" t="s">
        <v>653</v>
      </c>
      <c r="C192" s="137" t="s">
        <v>1092</v>
      </c>
      <c r="D192" s="137" t="s">
        <v>1646</v>
      </c>
      <c r="E192" s="120">
        <v>716</v>
      </c>
      <c r="F192" s="120">
        <v>668.075368</v>
      </c>
      <c r="G192" s="120">
        <f t="shared" si="2"/>
        <v>-47.924632</v>
      </c>
      <c r="H192" s="137"/>
    </row>
    <row r="193" customHeight="1" spans="1:8">
      <c r="A193" s="179">
        <v>180</v>
      </c>
      <c r="B193" s="179" t="s">
        <v>653</v>
      </c>
      <c r="C193" s="137" t="s">
        <v>1092</v>
      </c>
      <c r="D193" s="137" t="s">
        <v>1647</v>
      </c>
      <c r="E193" s="120">
        <v>118</v>
      </c>
      <c r="F193" s="120">
        <v>109.56</v>
      </c>
      <c r="G193" s="120">
        <f t="shared" si="2"/>
        <v>-8.44</v>
      </c>
      <c r="H193" s="137"/>
    </row>
    <row r="194" customHeight="1" spans="1:8">
      <c r="A194" s="179">
        <v>181</v>
      </c>
      <c r="B194" s="179" t="s">
        <v>653</v>
      </c>
      <c r="C194" s="137" t="s">
        <v>1092</v>
      </c>
      <c r="D194" s="137" t="s">
        <v>1648</v>
      </c>
      <c r="E194" s="120">
        <v>941.53</v>
      </c>
      <c r="F194" s="120">
        <v>941.533047</v>
      </c>
      <c r="G194" s="120">
        <f t="shared" si="2"/>
        <v>0.00304700000003777</v>
      </c>
      <c r="H194" s="137"/>
    </row>
    <row r="195" customHeight="1" spans="1:8">
      <c r="A195" s="179">
        <v>182</v>
      </c>
      <c r="B195" s="179" t="s">
        <v>653</v>
      </c>
      <c r="C195" s="137" t="s">
        <v>1530</v>
      </c>
      <c r="D195" s="137" t="s">
        <v>1649</v>
      </c>
      <c r="E195" s="120">
        <v>160</v>
      </c>
      <c r="F195" s="120">
        <v>158.715001</v>
      </c>
      <c r="G195" s="120">
        <f t="shared" si="2"/>
        <v>-1.284999</v>
      </c>
      <c r="H195" s="137"/>
    </row>
    <row r="196" customHeight="1" spans="1:8">
      <c r="A196" s="179">
        <v>183</v>
      </c>
      <c r="B196" s="179" t="s">
        <v>572</v>
      </c>
      <c r="C196" s="137" t="s">
        <v>573</v>
      </c>
      <c r="D196" s="137" t="s">
        <v>1650</v>
      </c>
      <c r="E196" s="120">
        <v>100</v>
      </c>
      <c r="F196" s="120">
        <v>0</v>
      </c>
      <c r="G196" s="120">
        <f t="shared" si="2"/>
        <v>-100</v>
      </c>
      <c r="H196" s="137"/>
    </row>
    <row r="197" customHeight="1" spans="1:8">
      <c r="A197" s="179">
        <v>184</v>
      </c>
      <c r="B197" s="179" t="s">
        <v>572</v>
      </c>
      <c r="C197" s="137" t="s">
        <v>573</v>
      </c>
      <c r="D197" s="137" t="s">
        <v>1651</v>
      </c>
      <c r="E197" s="120">
        <v>18</v>
      </c>
      <c r="F197" s="120">
        <v>0</v>
      </c>
      <c r="G197" s="120">
        <f t="shared" si="2"/>
        <v>-18</v>
      </c>
      <c r="H197" s="137"/>
    </row>
    <row r="198" customHeight="1" spans="1:8">
      <c r="A198" s="179">
        <v>185</v>
      </c>
      <c r="B198" s="179" t="s">
        <v>572</v>
      </c>
      <c r="C198" s="137" t="s">
        <v>573</v>
      </c>
      <c r="D198" s="137" t="s">
        <v>1652</v>
      </c>
      <c r="E198" s="120">
        <v>80</v>
      </c>
      <c r="F198" s="120">
        <v>10</v>
      </c>
      <c r="G198" s="120">
        <f t="shared" ref="G198:G215" si="3">F198-E198</f>
        <v>-70</v>
      </c>
      <c r="H198" s="137"/>
    </row>
    <row r="199" customHeight="1" spans="1:8">
      <c r="A199" s="179">
        <v>186</v>
      </c>
      <c r="B199" s="179" t="s">
        <v>572</v>
      </c>
      <c r="C199" s="137" t="s">
        <v>573</v>
      </c>
      <c r="D199" s="137" t="s">
        <v>1653</v>
      </c>
      <c r="E199" s="120">
        <v>10</v>
      </c>
      <c r="F199" s="120">
        <v>0</v>
      </c>
      <c r="G199" s="120">
        <f t="shared" si="3"/>
        <v>-10</v>
      </c>
      <c r="H199" s="137"/>
    </row>
    <row r="200" customHeight="1" spans="1:8">
      <c r="A200" s="179">
        <v>187</v>
      </c>
      <c r="B200" s="179" t="s">
        <v>572</v>
      </c>
      <c r="C200" s="137" t="s">
        <v>573</v>
      </c>
      <c r="D200" s="137" t="s">
        <v>1654</v>
      </c>
      <c r="E200" s="120">
        <v>27</v>
      </c>
      <c r="F200" s="120">
        <v>27</v>
      </c>
      <c r="G200" s="120">
        <f t="shared" si="3"/>
        <v>0</v>
      </c>
      <c r="H200" s="137"/>
    </row>
    <row r="201" customHeight="1" spans="1:8">
      <c r="A201" s="179">
        <v>188</v>
      </c>
      <c r="B201" s="179" t="s">
        <v>572</v>
      </c>
      <c r="C201" s="137" t="s">
        <v>573</v>
      </c>
      <c r="D201" s="137" t="s">
        <v>1655</v>
      </c>
      <c r="E201" s="120">
        <v>27</v>
      </c>
      <c r="F201" s="120">
        <v>27</v>
      </c>
      <c r="G201" s="120">
        <f t="shared" si="3"/>
        <v>0</v>
      </c>
      <c r="H201" s="137"/>
    </row>
    <row r="202" customHeight="1" spans="1:8">
      <c r="A202" s="179">
        <v>189</v>
      </c>
      <c r="B202" s="179" t="s">
        <v>572</v>
      </c>
      <c r="C202" s="137" t="s">
        <v>573</v>
      </c>
      <c r="D202" s="137" t="s">
        <v>1656</v>
      </c>
      <c r="E202" s="120">
        <v>26.68</v>
      </c>
      <c r="F202" s="120">
        <v>0</v>
      </c>
      <c r="G202" s="120">
        <f t="shared" si="3"/>
        <v>-26.68</v>
      </c>
      <c r="H202" s="137"/>
    </row>
    <row r="203" customHeight="1" spans="1:8">
      <c r="A203" s="179">
        <v>190</v>
      </c>
      <c r="B203" s="179" t="s">
        <v>572</v>
      </c>
      <c r="C203" s="137" t="s">
        <v>573</v>
      </c>
      <c r="D203" s="137" t="s">
        <v>1657</v>
      </c>
      <c r="E203" s="120">
        <v>85</v>
      </c>
      <c r="F203" s="120">
        <v>0</v>
      </c>
      <c r="G203" s="120">
        <f t="shared" si="3"/>
        <v>-85</v>
      </c>
      <c r="H203" s="137"/>
    </row>
    <row r="204" customHeight="1" spans="1:8">
      <c r="A204" s="179">
        <v>191</v>
      </c>
      <c r="B204" s="179" t="s">
        <v>572</v>
      </c>
      <c r="C204" s="137" t="s">
        <v>1114</v>
      </c>
      <c r="D204" s="137" t="s">
        <v>1658</v>
      </c>
      <c r="E204" s="120">
        <v>100</v>
      </c>
      <c r="F204" s="120">
        <v>0</v>
      </c>
      <c r="G204" s="120">
        <f t="shared" si="3"/>
        <v>-100</v>
      </c>
      <c r="H204" s="137"/>
    </row>
    <row r="205" customHeight="1" spans="1:8">
      <c r="A205" s="179">
        <v>192</v>
      </c>
      <c r="B205" s="179" t="s">
        <v>572</v>
      </c>
      <c r="C205" s="137" t="s">
        <v>585</v>
      </c>
      <c r="D205" s="137" t="s">
        <v>1659</v>
      </c>
      <c r="E205" s="120">
        <v>1210</v>
      </c>
      <c r="F205" s="120">
        <v>200</v>
      </c>
      <c r="G205" s="120">
        <f t="shared" si="3"/>
        <v>-1010</v>
      </c>
      <c r="H205" s="137" t="s">
        <v>1660</v>
      </c>
    </row>
    <row r="206" customHeight="1" spans="1:8">
      <c r="A206" s="182" t="s">
        <v>1661</v>
      </c>
      <c r="B206" s="183"/>
      <c r="C206" s="183"/>
      <c r="D206" s="184"/>
      <c r="E206" s="185">
        <f>SUM(E184:E205)</f>
        <v>10015.69</v>
      </c>
      <c r="F206" s="185">
        <f>SUM(F184:F205)</f>
        <v>7214.219856</v>
      </c>
      <c r="G206" s="185">
        <f t="shared" si="3"/>
        <v>-2801.470144</v>
      </c>
      <c r="H206" s="186"/>
    </row>
    <row r="207" customHeight="1" spans="1:8">
      <c r="A207" s="179">
        <v>193</v>
      </c>
      <c r="B207" s="179" t="s">
        <v>521</v>
      </c>
      <c r="C207" s="137" t="s">
        <v>1105</v>
      </c>
      <c r="D207" s="137" t="s">
        <v>1662</v>
      </c>
      <c r="E207" s="120">
        <v>14</v>
      </c>
      <c r="F207" s="120">
        <v>6</v>
      </c>
      <c r="G207" s="120">
        <f t="shared" si="3"/>
        <v>-8</v>
      </c>
      <c r="H207" s="137"/>
    </row>
    <row r="208" customHeight="1" spans="1:8">
      <c r="A208" s="179">
        <v>194</v>
      </c>
      <c r="B208" s="179" t="s">
        <v>521</v>
      </c>
      <c r="C208" s="137" t="s">
        <v>1105</v>
      </c>
      <c r="D208" s="137" t="s">
        <v>1109</v>
      </c>
      <c r="E208" s="120">
        <v>4</v>
      </c>
      <c r="F208" s="120">
        <v>4</v>
      </c>
      <c r="G208" s="120">
        <f t="shared" si="3"/>
        <v>0</v>
      </c>
      <c r="H208" s="137"/>
    </row>
    <row r="209" customHeight="1" spans="1:8">
      <c r="A209" s="179">
        <v>195</v>
      </c>
      <c r="B209" s="179" t="s">
        <v>521</v>
      </c>
      <c r="C209" s="137" t="s">
        <v>895</v>
      </c>
      <c r="D209" s="137" t="s">
        <v>1663</v>
      </c>
      <c r="E209" s="120">
        <v>30</v>
      </c>
      <c r="F209" s="120">
        <v>30</v>
      </c>
      <c r="G209" s="120">
        <f t="shared" si="3"/>
        <v>0</v>
      </c>
      <c r="H209" s="137"/>
    </row>
    <row r="210" customHeight="1" spans="1:8">
      <c r="A210" s="179">
        <v>196</v>
      </c>
      <c r="B210" s="179" t="s">
        <v>521</v>
      </c>
      <c r="C210" s="137" t="s">
        <v>1664</v>
      </c>
      <c r="D210" s="137" t="s">
        <v>1665</v>
      </c>
      <c r="E210" s="120">
        <v>12</v>
      </c>
      <c r="F210" s="120">
        <v>0</v>
      </c>
      <c r="G210" s="120">
        <f t="shared" si="3"/>
        <v>-12</v>
      </c>
      <c r="H210" s="137"/>
    </row>
    <row r="211" customHeight="1" spans="1:8">
      <c r="A211" s="182" t="s">
        <v>1666</v>
      </c>
      <c r="B211" s="183"/>
      <c r="C211" s="183"/>
      <c r="D211" s="184"/>
      <c r="E211" s="185">
        <f>SUM(E207:E210)</f>
        <v>60</v>
      </c>
      <c r="F211" s="185">
        <f>SUM(F207:F210)</f>
        <v>40</v>
      </c>
      <c r="G211" s="185">
        <f t="shared" si="3"/>
        <v>-20</v>
      </c>
      <c r="H211" s="186"/>
    </row>
    <row r="212" customHeight="1" spans="1:8">
      <c r="A212" s="182" t="s">
        <v>1667</v>
      </c>
      <c r="B212" s="183"/>
      <c r="C212" s="183"/>
      <c r="D212" s="184"/>
      <c r="E212" s="185">
        <v>170000</v>
      </c>
      <c r="F212" s="185">
        <v>162844</v>
      </c>
      <c r="G212" s="185">
        <f t="shared" si="3"/>
        <v>-7156</v>
      </c>
      <c r="H212" s="186" t="s">
        <v>1668</v>
      </c>
    </row>
    <row r="213" customHeight="1" spans="1:8">
      <c r="A213" s="182" t="s">
        <v>1669</v>
      </c>
      <c r="B213" s="183"/>
      <c r="C213" s="183"/>
      <c r="D213" s="184"/>
      <c r="E213" s="185">
        <f>E183+E206+E211+E212</f>
        <v>374853.890684</v>
      </c>
      <c r="F213" s="185">
        <f>F183+F206+F211+F212</f>
        <v>251840.855039</v>
      </c>
      <c r="G213" s="185">
        <f t="shared" si="3"/>
        <v>-123013.035645</v>
      </c>
      <c r="H213" s="186"/>
    </row>
    <row r="214" customHeight="1" spans="1:8">
      <c r="A214" s="182" t="s">
        <v>1670</v>
      </c>
      <c r="B214" s="183"/>
      <c r="C214" s="183"/>
      <c r="D214" s="184"/>
      <c r="E214" s="185">
        <v>66300</v>
      </c>
      <c r="F214" s="185">
        <v>13000</v>
      </c>
      <c r="G214" s="185">
        <f t="shared" si="3"/>
        <v>-53300</v>
      </c>
      <c r="H214" s="186"/>
    </row>
    <row r="215" customHeight="1" spans="1:8">
      <c r="A215" s="182" t="s">
        <v>1671</v>
      </c>
      <c r="B215" s="183"/>
      <c r="C215" s="183"/>
      <c r="D215" s="184"/>
      <c r="E215" s="185">
        <f>E213+E214</f>
        <v>441153.890684</v>
      </c>
      <c r="F215" s="185">
        <f>F213+F214</f>
        <v>264840.855039</v>
      </c>
      <c r="G215" s="185">
        <f t="shared" si="3"/>
        <v>-176313.035645</v>
      </c>
      <c r="H215" s="186"/>
    </row>
  </sheetData>
  <autoFilter xmlns:etc="http://www.wps.cn/officeDocument/2017/etCustomData" ref="A4:H215" etc:filterBottomFollowUsedRange="0">
    <extLst/>
  </autoFilter>
  <mergeCells count="18">
    <mergeCell ref="A2:H2"/>
    <mergeCell ref="A8:D8"/>
    <mergeCell ref="A40:D40"/>
    <mergeCell ref="A54:D54"/>
    <mergeCell ref="A111:D111"/>
    <mergeCell ref="A126:D126"/>
    <mergeCell ref="A178:D178"/>
    <mergeCell ref="A182:D182"/>
    <mergeCell ref="A183:D183"/>
    <mergeCell ref="A206:D206"/>
    <mergeCell ref="A211:D211"/>
    <mergeCell ref="A212:D212"/>
    <mergeCell ref="A213:D213"/>
    <mergeCell ref="A214:D214"/>
    <mergeCell ref="A215:D215"/>
    <mergeCell ref="B122:B125"/>
    <mergeCell ref="C122:C125"/>
    <mergeCell ref="H6:H7"/>
  </mergeCells>
  <printOptions horizontalCentered="1"/>
  <pageMargins left="0.786805555555556" right="0.786805555555556" top="0.393055555555556" bottom="0.393055555555556" header="0.196527777777778" footer="0.196527777777778"/>
  <pageSetup paperSize="9" scale="64" fitToHeight="0" orientation="landscape" horizontalDpi="600"/>
  <headerFooter alignWithMargins="0" scaleWithDoc="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0"/>
  <sheetViews>
    <sheetView topLeftCell="A20" workbookViewId="0">
      <selection activeCell="E18" sqref="E18"/>
    </sheetView>
  </sheetViews>
  <sheetFormatPr defaultColWidth="9" defaultRowHeight="14.25"/>
  <cols>
    <col min="1" max="1" width="35.625" style="101" customWidth="1"/>
    <col min="2" max="4" width="20.625" style="101" customWidth="1"/>
    <col min="5" max="5" width="30.625" style="101" customWidth="1"/>
    <col min="6" max="255" width="9" style="101"/>
    <col min="256" max="16384" width="9" style="108"/>
  </cols>
  <sheetData>
    <row r="1" s="101" customFormat="1" ht="20" customHeight="1" spans="1:256">
      <c r="A1" s="150" t="s">
        <v>1672</v>
      </c>
      <c r="IV1" s="108"/>
    </row>
    <row r="2" s="101" customFormat="1" ht="30" customHeight="1" spans="1:256">
      <c r="A2" s="8" t="s">
        <v>1673</v>
      </c>
      <c r="B2" s="8"/>
      <c r="C2" s="8"/>
      <c r="D2" s="8"/>
      <c r="E2" s="8"/>
      <c r="IV2" s="108"/>
    </row>
    <row r="3" s="102" customFormat="1" ht="20" customHeight="1" spans="5:5">
      <c r="E3" s="151" t="s">
        <v>5</v>
      </c>
    </row>
    <row r="4" s="102" customFormat="1" ht="50" customHeight="1" spans="1:5">
      <c r="A4" s="12" t="s">
        <v>6</v>
      </c>
      <c r="B4" s="12" t="s">
        <v>1674</v>
      </c>
      <c r="C4" s="12" t="s">
        <v>8</v>
      </c>
      <c r="D4" s="13" t="s">
        <v>9</v>
      </c>
      <c r="E4" s="12" t="s">
        <v>11</v>
      </c>
    </row>
    <row r="5" s="101" customFormat="1" ht="50" customHeight="1" spans="1:256">
      <c r="A5" s="168" t="s">
        <v>1675</v>
      </c>
      <c r="B5" s="169">
        <v>256</v>
      </c>
      <c r="C5" s="169">
        <v>50.28</v>
      </c>
      <c r="D5" s="169">
        <f t="shared" ref="D5:D15" si="0">B5+C5</f>
        <v>306.28</v>
      </c>
      <c r="E5" s="169"/>
      <c r="IV5" s="108"/>
    </row>
    <row r="6" s="101" customFormat="1" ht="35" hidden="1" customHeight="1" spans="1:256">
      <c r="A6" s="168" t="s">
        <v>1676</v>
      </c>
      <c r="B6" s="169"/>
      <c r="C6" s="169"/>
      <c r="D6" s="169">
        <f t="shared" si="0"/>
        <v>0</v>
      </c>
      <c r="E6" s="169"/>
      <c r="IV6" s="108"/>
    </row>
    <row r="7" s="101" customFormat="1" ht="35" hidden="1" customHeight="1" spans="1:256">
      <c r="A7" s="168" t="s">
        <v>1677</v>
      </c>
      <c r="B7" s="169"/>
      <c r="C7" s="169"/>
      <c r="D7" s="169">
        <f t="shared" si="0"/>
        <v>0</v>
      </c>
      <c r="E7" s="169"/>
      <c r="IV7" s="108"/>
    </row>
    <row r="8" s="101" customFormat="1" ht="35" hidden="1" customHeight="1" spans="1:256">
      <c r="A8" s="168" t="s">
        <v>1678</v>
      </c>
      <c r="B8" s="169"/>
      <c r="C8" s="169"/>
      <c r="D8" s="169">
        <f t="shared" si="0"/>
        <v>0</v>
      </c>
      <c r="E8" s="169"/>
      <c r="IV8" s="108"/>
    </row>
    <row r="9" s="101" customFormat="1" ht="35" hidden="1" customHeight="1" spans="1:256">
      <c r="A9" s="170" t="s">
        <v>1679</v>
      </c>
      <c r="B9" s="169"/>
      <c r="C9" s="169"/>
      <c r="D9" s="169">
        <f t="shared" si="0"/>
        <v>0</v>
      </c>
      <c r="E9" s="169"/>
      <c r="IV9" s="108"/>
    </row>
    <row r="10" s="101" customFormat="1" ht="50" customHeight="1" spans="1:256">
      <c r="A10" s="168" t="s">
        <v>1680</v>
      </c>
      <c r="B10" s="169">
        <v>256</v>
      </c>
      <c r="C10" s="169">
        <v>50.28</v>
      </c>
      <c r="D10" s="169">
        <f t="shared" si="0"/>
        <v>306.28</v>
      </c>
      <c r="E10" s="169"/>
      <c r="IV10" s="108"/>
    </row>
    <row r="11" s="101" customFormat="1" ht="50" customHeight="1" spans="1:256">
      <c r="A11" s="168" t="s">
        <v>1681</v>
      </c>
      <c r="B11" s="169">
        <v>2334.72</v>
      </c>
      <c r="C11" s="169">
        <f>-1060.3784</f>
        <v>-1060.3784</v>
      </c>
      <c r="D11" s="169">
        <f>B11+C11+0.2</f>
        <v>1274.5416</v>
      </c>
      <c r="E11" s="169"/>
      <c r="IV11" s="108"/>
    </row>
    <row r="12" s="101" customFormat="1" ht="35" hidden="1" customHeight="1" spans="1:256">
      <c r="A12" s="168" t="s">
        <v>1682</v>
      </c>
      <c r="B12" s="169"/>
      <c r="C12" s="169"/>
      <c r="D12" s="169">
        <f t="shared" si="0"/>
        <v>0</v>
      </c>
      <c r="E12" s="169"/>
      <c r="IV12" s="108"/>
    </row>
    <row r="13" s="101" customFormat="1" ht="35" hidden="1" customHeight="1" spans="1:256">
      <c r="A13" s="168" t="s">
        <v>1683</v>
      </c>
      <c r="B13" s="169"/>
      <c r="C13" s="169"/>
      <c r="D13" s="169">
        <f t="shared" si="0"/>
        <v>0</v>
      </c>
      <c r="E13" s="169"/>
      <c r="IV13" s="108"/>
    </row>
    <row r="14" s="101" customFormat="1" ht="35" hidden="1" customHeight="1" spans="1:256">
      <c r="A14" s="168" t="s">
        <v>1684</v>
      </c>
      <c r="B14" s="169"/>
      <c r="C14" s="169"/>
      <c r="D14" s="169">
        <f t="shared" si="0"/>
        <v>0</v>
      </c>
      <c r="E14" s="169"/>
      <c r="IV14" s="108"/>
    </row>
    <row r="15" s="105" customFormat="1" ht="50" customHeight="1" spans="1:256">
      <c r="A15" s="161" t="s">
        <v>1685</v>
      </c>
      <c r="B15" s="171">
        <f>B5+B11</f>
        <v>2590.72</v>
      </c>
      <c r="C15" s="171">
        <f>C5+C11</f>
        <v>-1010.0984</v>
      </c>
      <c r="D15" s="171">
        <f t="shared" si="0"/>
        <v>1580.6216</v>
      </c>
      <c r="E15" s="171"/>
      <c r="IV15" s="127"/>
    </row>
    <row r="16" s="101" customFormat="1" ht="50" customHeight="1" spans="1:256">
      <c r="A16" s="168" t="s">
        <v>1686</v>
      </c>
      <c r="B16" s="169">
        <v>4</v>
      </c>
      <c r="C16" s="169">
        <v>0</v>
      </c>
      <c r="D16" s="169">
        <v>3.6652</v>
      </c>
      <c r="E16" s="169"/>
      <c r="IV16" s="108"/>
    </row>
    <row r="17" s="101" customFormat="1" ht="50" customHeight="1" spans="1:256">
      <c r="A17" s="168" t="s">
        <v>1687</v>
      </c>
      <c r="B17" s="169">
        <v>44.2464</v>
      </c>
      <c r="C17" s="169">
        <v>0</v>
      </c>
      <c r="D17" s="169">
        <f t="shared" ref="D17:D19" si="1">B17+C17</f>
        <v>44.2464</v>
      </c>
      <c r="E17" s="169"/>
      <c r="IV17" s="108"/>
    </row>
    <row r="18" s="101" customFormat="1" ht="50" customHeight="1" spans="1:256">
      <c r="A18" s="168" t="s">
        <v>1688</v>
      </c>
      <c r="B18" s="169">
        <v>40.3064</v>
      </c>
      <c r="C18" s="169">
        <v>0</v>
      </c>
      <c r="D18" s="169">
        <f t="shared" si="1"/>
        <v>40.3064</v>
      </c>
      <c r="E18" s="169"/>
      <c r="IV18" s="108"/>
    </row>
    <row r="19" s="101" customFormat="1" ht="35" hidden="1" customHeight="1" spans="1:256">
      <c r="A19" s="172" t="s">
        <v>1689</v>
      </c>
      <c r="B19" s="169">
        <v>0</v>
      </c>
      <c r="C19" s="169">
        <v>0</v>
      </c>
      <c r="D19" s="169">
        <f t="shared" si="1"/>
        <v>0</v>
      </c>
      <c r="E19" s="169"/>
      <c r="IV19" s="108"/>
    </row>
    <row r="20" s="105" customFormat="1" ht="50" customHeight="1" spans="1:256">
      <c r="A20" s="173" t="s">
        <v>1690</v>
      </c>
      <c r="B20" s="171">
        <f>SUM(B15,B16,B17)</f>
        <v>2638.9664</v>
      </c>
      <c r="C20" s="171">
        <f>SUM(C15,C16,C17)</f>
        <v>-1010.0984</v>
      </c>
      <c r="D20" s="171">
        <f>SUM(D15,D16,D17)</f>
        <v>1628.5332</v>
      </c>
      <c r="E20" s="171"/>
      <c r="IV20" s="127"/>
    </row>
  </sheetData>
  <mergeCells count="1">
    <mergeCell ref="A2:E2"/>
  </mergeCells>
  <printOptions horizontalCentered="1"/>
  <pageMargins left="0.786805555555556" right="0.786805555555556" top="0.393055555555556" bottom="0.393055555555556" header="0.196527777777778" footer="0.196527777777778"/>
  <pageSetup paperSize="9" scale="94"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I21"/>
  <sheetViews>
    <sheetView topLeftCell="A11" workbookViewId="0">
      <selection activeCell="F6" sqref="F6"/>
    </sheetView>
  </sheetViews>
  <sheetFormatPr defaultColWidth="9" defaultRowHeight="14.25"/>
  <cols>
    <col min="1" max="1" width="9.5" style="147" customWidth="1"/>
    <col min="2" max="2" width="39.75" style="101" customWidth="1"/>
    <col min="3" max="10" width="10.625" style="101" customWidth="1"/>
    <col min="11" max="11" width="10.625" style="129" customWidth="1"/>
    <col min="12" max="12" width="23.875" style="101" customWidth="1"/>
    <col min="13" max="16366" width="9" style="101"/>
  </cols>
  <sheetData>
    <row r="1" s="101" customFormat="1" ht="20" customHeight="1" spans="1:243">
      <c r="A1" s="109" t="s">
        <v>1691</v>
      </c>
      <c r="B1" s="109"/>
      <c r="C1" s="109"/>
      <c r="D1" s="109"/>
      <c r="E1" s="109"/>
      <c r="H1" s="104"/>
      <c r="I1" s="104"/>
      <c r="J1" s="104"/>
      <c r="K1" s="163"/>
      <c r="IG1" s="108"/>
      <c r="IH1" s="108"/>
      <c r="II1" s="108"/>
    </row>
    <row r="2" s="101" customFormat="1" ht="30" customHeight="1" spans="1:243">
      <c r="A2" s="148" t="s">
        <v>1692</v>
      </c>
      <c r="B2" s="148"/>
      <c r="C2" s="148"/>
      <c r="D2" s="148"/>
      <c r="E2" s="148"/>
      <c r="F2" s="148"/>
      <c r="G2" s="148"/>
      <c r="H2" s="148"/>
      <c r="I2" s="148"/>
      <c r="J2" s="148"/>
      <c r="K2" s="164"/>
      <c r="L2" s="148"/>
      <c r="IG2" s="108"/>
      <c r="IH2" s="108"/>
      <c r="II2" s="108"/>
    </row>
    <row r="3" s="102" customFormat="1" ht="20" customHeight="1" spans="8:12">
      <c r="H3" s="11"/>
      <c r="I3" s="11"/>
      <c r="J3" s="11"/>
      <c r="K3" s="165"/>
      <c r="L3" s="11" t="s">
        <v>5</v>
      </c>
    </row>
    <row r="4" s="102" customFormat="1" ht="28.5" hidden="1" customHeight="1" spans="1:12">
      <c r="A4" s="149"/>
      <c r="C4" s="150"/>
      <c r="D4" s="150"/>
      <c r="E4" s="150"/>
      <c r="F4" s="151"/>
      <c r="G4" s="151"/>
      <c r="H4" s="150"/>
      <c r="I4" s="150"/>
      <c r="J4" s="150"/>
      <c r="K4" s="166"/>
      <c r="L4" s="150"/>
    </row>
    <row r="5" s="146" customFormat="1" ht="50" customHeight="1" spans="1:12">
      <c r="A5" s="152" t="s">
        <v>1693</v>
      </c>
      <c r="B5" s="152" t="s">
        <v>1694</v>
      </c>
      <c r="C5" s="134" t="s">
        <v>1695</v>
      </c>
      <c r="D5" s="134"/>
      <c r="E5" s="153"/>
      <c r="F5" s="154" t="s">
        <v>8</v>
      </c>
      <c r="G5" s="155"/>
      <c r="H5" s="134" t="s">
        <v>9</v>
      </c>
      <c r="I5" s="134"/>
      <c r="J5" s="134"/>
      <c r="K5" s="133" t="s">
        <v>10</v>
      </c>
      <c r="L5" s="152" t="s">
        <v>11</v>
      </c>
    </row>
    <row r="6" s="146" customFormat="1" ht="50" customHeight="1" spans="1:12">
      <c r="A6" s="156"/>
      <c r="B6" s="156"/>
      <c r="C6" s="134" t="s">
        <v>65</v>
      </c>
      <c r="D6" s="134" t="s">
        <v>66</v>
      </c>
      <c r="E6" s="134" t="s">
        <v>67</v>
      </c>
      <c r="F6" s="134" t="s">
        <v>1696</v>
      </c>
      <c r="G6" s="134" t="s">
        <v>66</v>
      </c>
      <c r="H6" s="134" t="s">
        <v>65</v>
      </c>
      <c r="I6" s="134" t="s">
        <v>66</v>
      </c>
      <c r="J6" s="134" t="s">
        <v>67</v>
      </c>
      <c r="K6" s="167"/>
      <c r="L6" s="156"/>
    </row>
    <row r="7" s="101" customFormat="1" ht="50" customHeight="1" spans="1:12">
      <c r="A7" s="157">
        <v>22301</v>
      </c>
      <c r="B7" s="158" t="s">
        <v>1697</v>
      </c>
      <c r="C7" s="120">
        <v>291.67</v>
      </c>
      <c r="D7" s="120">
        <v>4</v>
      </c>
      <c r="E7" s="120">
        <f t="shared" ref="E7:E18" si="0">SUM(C7:D7)</f>
        <v>295.67</v>
      </c>
      <c r="F7" s="120">
        <f t="shared" ref="F7:F17" si="1">H7-C7</f>
        <v>-252.73</v>
      </c>
      <c r="G7" s="120"/>
      <c r="H7" s="120">
        <f>SUM(H10:H11)</f>
        <v>38.94</v>
      </c>
      <c r="I7" s="120">
        <f>SUM(I10:I11)</f>
        <v>3.6652</v>
      </c>
      <c r="J7" s="120">
        <f t="shared" ref="J7:J20" si="2">SUM(H7:I7)</f>
        <v>42.6052</v>
      </c>
      <c r="K7" s="120">
        <f t="shared" ref="K7:K11" si="3">+(J7-E7)/E7*100</f>
        <v>-85.5902864680218</v>
      </c>
      <c r="L7" s="122"/>
    </row>
    <row r="8" s="101" customFormat="1" ht="31" hidden="1" customHeight="1" spans="1:12">
      <c r="A8" s="157"/>
      <c r="B8" s="158" t="s">
        <v>1698</v>
      </c>
      <c r="C8" s="120"/>
      <c r="D8" s="120"/>
      <c r="E8" s="120"/>
      <c r="F8" s="120">
        <f t="shared" si="1"/>
        <v>0</v>
      </c>
      <c r="G8" s="120"/>
      <c r="H8" s="120">
        <v>0</v>
      </c>
      <c r="I8" s="120"/>
      <c r="J8" s="120"/>
      <c r="K8" s="120"/>
      <c r="L8" s="122"/>
    </row>
    <row r="9" s="101" customFormat="1" ht="31" hidden="1" customHeight="1" spans="1:12">
      <c r="A9" s="157"/>
      <c r="B9" s="158" t="s">
        <v>1699</v>
      </c>
      <c r="C9" s="120"/>
      <c r="D9" s="120"/>
      <c r="E9" s="120"/>
      <c r="F9" s="120">
        <f t="shared" si="1"/>
        <v>0</v>
      </c>
      <c r="G9" s="120"/>
      <c r="H9" s="120">
        <v>0</v>
      </c>
      <c r="I9" s="120"/>
      <c r="J9" s="120"/>
      <c r="K9" s="120"/>
      <c r="L9" s="122"/>
    </row>
    <row r="10" s="101" customFormat="1" ht="50" customHeight="1" spans="1:12">
      <c r="A10" s="157">
        <v>2230105</v>
      </c>
      <c r="B10" s="159" t="s">
        <v>1700</v>
      </c>
      <c r="C10" s="120">
        <v>3.94</v>
      </c>
      <c r="D10" s="120">
        <v>3.6652</v>
      </c>
      <c r="E10" s="120">
        <f t="shared" si="0"/>
        <v>7.6052</v>
      </c>
      <c r="F10" s="120"/>
      <c r="G10" s="120"/>
      <c r="H10" s="120">
        <v>3.94</v>
      </c>
      <c r="I10" s="120">
        <v>3.6652</v>
      </c>
      <c r="J10" s="120">
        <f t="shared" si="2"/>
        <v>7.6052</v>
      </c>
      <c r="K10" s="120">
        <f t="shared" si="3"/>
        <v>0</v>
      </c>
      <c r="L10" s="122"/>
    </row>
    <row r="11" s="101" customFormat="1" ht="50" customHeight="1" spans="1:12">
      <c r="A11" s="157">
        <v>2230199</v>
      </c>
      <c r="B11" s="158" t="s">
        <v>1701</v>
      </c>
      <c r="C11" s="120">
        <v>287.67</v>
      </c>
      <c r="D11" s="120"/>
      <c r="E11" s="120">
        <f t="shared" si="0"/>
        <v>287.67</v>
      </c>
      <c r="F11" s="120">
        <f t="shared" si="1"/>
        <v>-252.67</v>
      </c>
      <c r="G11" s="120"/>
      <c r="H11" s="120">
        <v>35</v>
      </c>
      <c r="I11" s="120"/>
      <c r="J11" s="120">
        <f t="shared" si="2"/>
        <v>35</v>
      </c>
      <c r="K11" s="120">
        <f t="shared" si="3"/>
        <v>-87.8332811902527</v>
      </c>
      <c r="L11" s="122"/>
    </row>
    <row r="12" s="101" customFormat="1" ht="31" hidden="1" customHeight="1" spans="1:12">
      <c r="A12" s="157">
        <v>22302</v>
      </c>
      <c r="B12" s="158" t="s">
        <v>1702</v>
      </c>
      <c r="C12" s="120">
        <v>0</v>
      </c>
      <c r="D12" s="120"/>
      <c r="E12" s="120">
        <f t="shared" si="0"/>
        <v>0</v>
      </c>
      <c r="F12" s="120">
        <f t="shared" si="1"/>
        <v>0</v>
      </c>
      <c r="G12" s="120"/>
      <c r="H12" s="120">
        <v>0</v>
      </c>
      <c r="I12" s="120"/>
      <c r="J12" s="120">
        <f t="shared" si="2"/>
        <v>0</v>
      </c>
      <c r="K12" s="120"/>
      <c r="L12" s="122"/>
    </row>
    <row r="13" s="101" customFormat="1" ht="31" hidden="1" customHeight="1" spans="1:12">
      <c r="A13" s="157">
        <v>2230299</v>
      </c>
      <c r="B13" s="158" t="s">
        <v>1703</v>
      </c>
      <c r="C13" s="120">
        <v>0</v>
      </c>
      <c r="D13" s="120"/>
      <c r="E13" s="120">
        <f t="shared" si="0"/>
        <v>0</v>
      </c>
      <c r="F13" s="120">
        <f t="shared" si="1"/>
        <v>0</v>
      </c>
      <c r="G13" s="120"/>
      <c r="H13" s="120">
        <v>0</v>
      </c>
      <c r="I13" s="120"/>
      <c r="J13" s="120">
        <f t="shared" si="2"/>
        <v>0</v>
      </c>
      <c r="K13" s="120"/>
      <c r="L13" s="122"/>
    </row>
    <row r="14" s="101" customFormat="1" ht="31" hidden="1" customHeight="1" spans="1:12">
      <c r="A14" s="157">
        <v>22303</v>
      </c>
      <c r="B14" s="158" t="s">
        <v>1704</v>
      </c>
      <c r="C14" s="120">
        <v>0</v>
      </c>
      <c r="D14" s="120"/>
      <c r="E14" s="120">
        <f t="shared" si="0"/>
        <v>0</v>
      </c>
      <c r="F14" s="120">
        <f t="shared" si="1"/>
        <v>0</v>
      </c>
      <c r="G14" s="120"/>
      <c r="H14" s="120">
        <v>0</v>
      </c>
      <c r="I14" s="120"/>
      <c r="J14" s="120">
        <f t="shared" si="2"/>
        <v>0</v>
      </c>
      <c r="K14" s="120"/>
      <c r="L14" s="137"/>
    </row>
    <row r="15" s="101" customFormat="1" ht="31" hidden="1" customHeight="1" spans="1:12">
      <c r="A15" s="157">
        <v>2230301</v>
      </c>
      <c r="B15" s="158" t="s">
        <v>1705</v>
      </c>
      <c r="C15" s="120">
        <v>0</v>
      </c>
      <c r="D15" s="120"/>
      <c r="E15" s="120">
        <f t="shared" si="0"/>
        <v>0</v>
      </c>
      <c r="F15" s="120">
        <f t="shared" si="1"/>
        <v>0</v>
      </c>
      <c r="G15" s="120"/>
      <c r="H15" s="120">
        <v>0</v>
      </c>
      <c r="I15" s="120"/>
      <c r="J15" s="120">
        <f t="shared" si="2"/>
        <v>0</v>
      </c>
      <c r="K15" s="120"/>
      <c r="L15" s="137"/>
    </row>
    <row r="16" s="101" customFormat="1" ht="50" customHeight="1" spans="1:12">
      <c r="A16" s="157">
        <v>22399</v>
      </c>
      <c r="B16" s="158" t="s">
        <v>1706</v>
      </c>
      <c r="C16" s="120">
        <v>1566.3364</v>
      </c>
      <c r="D16" s="120"/>
      <c r="E16" s="120">
        <f t="shared" si="0"/>
        <v>1566.3364</v>
      </c>
      <c r="F16" s="120">
        <f t="shared" si="1"/>
        <v>-470.868207</v>
      </c>
      <c r="G16" s="120"/>
      <c r="H16" s="120">
        <f>SUM(H17)</f>
        <v>1095.468193</v>
      </c>
      <c r="I16" s="120"/>
      <c r="J16" s="120">
        <f t="shared" si="2"/>
        <v>1095.468193</v>
      </c>
      <c r="K16" s="120">
        <f t="shared" ref="K16:K19" si="4">+(J16-E16)/E16*100</f>
        <v>-30.0617547418294</v>
      </c>
      <c r="L16" s="122"/>
    </row>
    <row r="17" s="101" customFormat="1" ht="50" customHeight="1" spans="1:12">
      <c r="A17" s="157">
        <v>2239901</v>
      </c>
      <c r="B17" s="158" t="s">
        <v>1707</v>
      </c>
      <c r="C17" s="120">
        <v>1566.3364</v>
      </c>
      <c r="D17" s="120"/>
      <c r="E17" s="120">
        <f t="shared" si="0"/>
        <v>1566.3364</v>
      </c>
      <c r="F17" s="120">
        <f t="shared" si="1"/>
        <v>-470.868207</v>
      </c>
      <c r="G17" s="120"/>
      <c r="H17" s="120">
        <v>1095.468193</v>
      </c>
      <c r="I17" s="120"/>
      <c r="J17" s="120">
        <f t="shared" si="2"/>
        <v>1095.468193</v>
      </c>
      <c r="K17" s="120">
        <f t="shared" si="4"/>
        <v>-30.0617547418294</v>
      </c>
      <c r="L17" s="122"/>
    </row>
    <row r="18" s="105" customFormat="1" ht="50" customHeight="1" spans="1:12">
      <c r="A18" s="160"/>
      <c r="B18" s="161" t="s">
        <v>1708</v>
      </c>
      <c r="C18" s="141">
        <f t="shared" ref="C18:I18" si="5">SUM(C7,C16)</f>
        <v>1858.0064</v>
      </c>
      <c r="D18" s="141">
        <f t="shared" si="5"/>
        <v>4</v>
      </c>
      <c r="E18" s="141">
        <f t="shared" si="0"/>
        <v>1862.0064</v>
      </c>
      <c r="F18" s="141">
        <f t="shared" si="5"/>
        <v>-723.598207</v>
      </c>
      <c r="G18" s="141">
        <f t="shared" si="5"/>
        <v>0</v>
      </c>
      <c r="H18" s="141">
        <f t="shared" si="5"/>
        <v>1134.408193</v>
      </c>
      <c r="I18" s="141">
        <f t="shared" si="5"/>
        <v>3.6652</v>
      </c>
      <c r="J18" s="141">
        <f t="shared" si="2"/>
        <v>1138.073393</v>
      </c>
      <c r="K18" s="141">
        <f t="shared" si="4"/>
        <v>-38.8791900500449</v>
      </c>
      <c r="L18" s="124"/>
    </row>
    <row r="19" s="101" customFormat="1" ht="50" customHeight="1" spans="1:12">
      <c r="A19" s="157">
        <v>2300803</v>
      </c>
      <c r="B19" s="157" t="s">
        <v>1709</v>
      </c>
      <c r="C19" s="162">
        <v>777.3</v>
      </c>
      <c r="D19" s="162"/>
      <c r="E19" s="120">
        <v>777.3</v>
      </c>
      <c r="F19" s="120">
        <v>-302.81352</v>
      </c>
      <c r="G19" s="120"/>
      <c r="H19" s="120">
        <v>474</v>
      </c>
      <c r="I19" s="162"/>
      <c r="J19" s="120">
        <f t="shared" si="2"/>
        <v>474</v>
      </c>
      <c r="K19" s="120">
        <f t="shared" si="4"/>
        <v>-39.0196835198765</v>
      </c>
      <c r="L19" s="122"/>
    </row>
    <row r="20" s="101" customFormat="1" ht="50" customHeight="1" spans="1:12">
      <c r="A20" s="157"/>
      <c r="B20" s="157" t="s">
        <v>1710</v>
      </c>
      <c r="C20" s="162"/>
      <c r="D20" s="162"/>
      <c r="E20" s="120"/>
      <c r="F20" s="120">
        <f>16.459807+0.1</f>
        <v>16.559807</v>
      </c>
      <c r="G20" s="120"/>
      <c r="H20" s="120">
        <f>16.459807+0.1</f>
        <v>16.559807</v>
      </c>
      <c r="I20" s="162"/>
      <c r="J20" s="120">
        <f t="shared" si="2"/>
        <v>16.559807</v>
      </c>
      <c r="K20" s="120"/>
      <c r="L20" s="122"/>
    </row>
    <row r="21" s="105" customFormat="1" ht="50" customHeight="1" spans="1:12">
      <c r="A21" s="160"/>
      <c r="B21" s="161" t="s">
        <v>1711</v>
      </c>
      <c r="C21" s="141">
        <f t="shared" ref="C21:J21" si="6">SUM(C18,C19,C20)</f>
        <v>2635.3064</v>
      </c>
      <c r="D21" s="141">
        <f t="shared" si="6"/>
        <v>4</v>
      </c>
      <c r="E21" s="141">
        <f t="shared" si="6"/>
        <v>2639.3064</v>
      </c>
      <c r="F21" s="141">
        <f t="shared" si="6"/>
        <v>-1009.85192</v>
      </c>
      <c r="G21" s="141">
        <f t="shared" si="6"/>
        <v>0</v>
      </c>
      <c r="H21" s="141">
        <f t="shared" si="6"/>
        <v>1624.968</v>
      </c>
      <c r="I21" s="141">
        <f t="shared" si="6"/>
        <v>3.6652</v>
      </c>
      <c r="J21" s="141">
        <f t="shared" si="6"/>
        <v>1628.6332</v>
      </c>
      <c r="K21" s="141">
        <f>+(J21-E21)/E21*100</f>
        <v>-38.2931364088686</v>
      </c>
      <c r="L21" s="124"/>
    </row>
  </sheetData>
  <mergeCells count="8">
    <mergeCell ref="A2:L2"/>
    <mergeCell ref="C5:E5"/>
    <mergeCell ref="F5:G5"/>
    <mergeCell ref="H5:J5"/>
    <mergeCell ref="A5:A6"/>
    <mergeCell ref="B5:B6"/>
    <mergeCell ref="K5:K6"/>
    <mergeCell ref="L5:L6"/>
  </mergeCells>
  <printOptions horizontalCentered="1"/>
  <pageMargins left="0.786805555555556" right="0.786805555555556" top="0.393055555555556" bottom="0.393055555555556" header="0.196527777777778" footer="0.196527777777778"/>
  <pageSetup paperSize="9" scale="71" fitToHeight="0"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36"/>
  <sheetViews>
    <sheetView topLeftCell="A17" workbookViewId="0">
      <selection activeCell="A22" sqref="A22"/>
    </sheetView>
  </sheetViews>
  <sheetFormatPr defaultColWidth="9" defaultRowHeight="14.25"/>
  <cols>
    <col min="1" max="1" width="60.625" style="101" customWidth="1"/>
    <col min="2" max="2" width="22.375" style="129" hidden="1" customWidth="1"/>
    <col min="3" max="5" width="20.625" style="129" customWidth="1"/>
    <col min="6" max="6" width="12.5" style="101" hidden="1" customWidth="1"/>
    <col min="7" max="7" width="60.625" style="104" customWidth="1"/>
    <col min="8" max="254" width="9" style="101"/>
    <col min="255" max="16384" width="9" style="108"/>
  </cols>
  <sheetData>
    <row r="1" s="101" customFormat="1" ht="20" customHeight="1" spans="1:257">
      <c r="A1" s="109" t="s">
        <v>1712</v>
      </c>
      <c r="B1" s="130"/>
      <c r="C1" s="130"/>
      <c r="D1" s="130"/>
      <c r="E1" s="129"/>
      <c r="G1" s="104"/>
      <c r="IU1" s="108"/>
      <c r="IV1" s="108"/>
      <c r="IW1" s="108"/>
    </row>
    <row r="2" s="101" customFormat="1" ht="30" customHeight="1" spans="1:257">
      <c r="A2" s="8" t="s">
        <v>1713</v>
      </c>
      <c r="B2" s="131"/>
      <c r="C2" s="131"/>
      <c r="D2" s="131"/>
      <c r="E2" s="131"/>
      <c r="F2" s="8"/>
      <c r="G2" s="8"/>
      <c r="IU2" s="108"/>
      <c r="IV2" s="108"/>
      <c r="IW2" s="108"/>
    </row>
    <row r="3" s="102" customFormat="1" ht="20" customHeight="1" spans="2:7">
      <c r="B3" s="132"/>
      <c r="C3" s="132"/>
      <c r="D3" s="132"/>
      <c r="E3" s="132"/>
      <c r="G3" s="11" t="s">
        <v>5</v>
      </c>
    </row>
    <row r="4" s="109" customFormat="1" ht="30" customHeight="1" spans="1:7">
      <c r="A4" s="133" t="s">
        <v>6</v>
      </c>
      <c r="B4" s="133" t="s">
        <v>1714</v>
      </c>
      <c r="C4" s="133" t="s">
        <v>7</v>
      </c>
      <c r="D4" s="134" t="s">
        <v>8</v>
      </c>
      <c r="E4" s="134" t="s">
        <v>9</v>
      </c>
      <c r="F4" s="112" t="s">
        <v>1715</v>
      </c>
      <c r="G4" s="133" t="s">
        <v>11</v>
      </c>
    </row>
    <row r="5" s="128" customFormat="1" ht="30" customHeight="1" spans="1:257">
      <c r="A5" s="124" t="s">
        <v>1716</v>
      </c>
      <c r="B5" s="115">
        <f>SUM(B6,B14)</f>
        <v>33853</v>
      </c>
      <c r="C5" s="115">
        <v>30486</v>
      </c>
      <c r="D5" s="115">
        <f>+E5-C5</f>
        <v>-2964</v>
      </c>
      <c r="E5" s="115">
        <f>SUM(E6,E14)</f>
        <v>27522</v>
      </c>
      <c r="F5" s="113">
        <f>SUM(F6,F14)</f>
        <v>25173</v>
      </c>
      <c r="G5" s="135"/>
      <c r="IU5" s="144"/>
      <c r="IV5" s="144"/>
      <c r="IW5" s="144"/>
    </row>
    <row r="6" s="109" customFormat="1" ht="30" customHeight="1" spans="1:257">
      <c r="A6" s="122" t="s">
        <v>1717</v>
      </c>
      <c r="B6" s="119">
        <v>12252</v>
      </c>
      <c r="C6" s="119">
        <v>12171</v>
      </c>
      <c r="D6" s="119">
        <f t="shared" ref="D6:D27" si="0">+E6-C6</f>
        <v>-656</v>
      </c>
      <c r="E6" s="119">
        <f>SUM(E7:E13)</f>
        <v>11515</v>
      </c>
      <c r="F6" s="117">
        <f>SUM(F7:F13)</f>
        <v>10136</v>
      </c>
      <c r="G6" s="136"/>
      <c r="IU6" s="145"/>
      <c r="IV6" s="145"/>
      <c r="IW6" s="145"/>
    </row>
    <row r="7" s="109" customFormat="1" ht="30" customHeight="1" spans="1:257">
      <c r="A7" s="122" t="s">
        <v>1718</v>
      </c>
      <c r="B7" s="119">
        <v>1471</v>
      </c>
      <c r="C7" s="119">
        <v>1471</v>
      </c>
      <c r="D7" s="119">
        <f t="shared" si="0"/>
        <v>-102</v>
      </c>
      <c r="E7" s="119">
        <v>1369</v>
      </c>
      <c r="F7" s="117">
        <v>1121</v>
      </c>
      <c r="G7" s="136"/>
      <c r="IU7" s="145"/>
      <c r="IV7" s="145"/>
      <c r="IW7" s="145"/>
    </row>
    <row r="8" s="109" customFormat="1" ht="30" customHeight="1" spans="1:257">
      <c r="A8" s="122" t="s">
        <v>1719</v>
      </c>
      <c r="B8" s="119">
        <v>10152</v>
      </c>
      <c r="C8" s="119">
        <v>10152</v>
      </c>
      <c r="D8" s="119">
        <f t="shared" si="0"/>
        <v>-627</v>
      </c>
      <c r="E8" s="119">
        <v>9525</v>
      </c>
      <c r="F8" s="117">
        <v>8503</v>
      </c>
      <c r="G8" s="136"/>
      <c r="IU8" s="145"/>
      <c r="IV8" s="145"/>
      <c r="IW8" s="145"/>
    </row>
    <row r="9" s="109" customFormat="1" ht="30" customHeight="1" spans="1:257">
      <c r="A9" s="122" t="s">
        <v>1720</v>
      </c>
      <c r="B9" s="119">
        <v>294</v>
      </c>
      <c r="C9" s="119">
        <v>246</v>
      </c>
      <c r="D9" s="119">
        <f t="shared" si="0"/>
        <v>-1</v>
      </c>
      <c r="E9" s="119">
        <v>245</v>
      </c>
      <c r="F9" s="117">
        <v>242</v>
      </c>
      <c r="G9" s="136"/>
      <c r="IU9" s="145"/>
      <c r="IV9" s="145"/>
      <c r="IW9" s="145"/>
    </row>
    <row r="10" s="109" customFormat="1" ht="30" customHeight="1" spans="1:257">
      <c r="A10" s="122" t="s">
        <v>1721</v>
      </c>
      <c r="B10" s="119">
        <v>55</v>
      </c>
      <c r="C10" s="119">
        <v>55</v>
      </c>
      <c r="D10" s="119">
        <f t="shared" si="0"/>
        <v>6</v>
      </c>
      <c r="E10" s="119">
        <v>61</v>
      </c>
      <c r="F10" s="117">
        <v>0</v>
      </c>
      <c r="G10" s="136"/>
      <c r="IU10" s="145"/>
      <c r="IV10" s="145"/>
      <c r="IW10" s="145"/>
    </row>
    <row r="11" s="109" customFormat="1" ht="30" customHeight="1" spans="1:257">
      <c r="A11" s="122" t="s">
        <v>1722</v>
      </c>
      <c r="B11" s="119">
        <v>234</v>
      </c>
      <c r="C11" s="119">
        <v>234</v>
      </c>
      <c r="D11" s="119">
        <f t="shared" si="0"/>
        <v>41</v>
      </c>
      <c r="E11" s="119">
        <v>275</v>
      </c>
      <c r="F11" s="117">
        <v>234</v>
      </c>
      <c r="G11" s="136"/>
      <c r="IU11" s="145"/>
      <c r="IV11" s="145"/>
      <c r="IW11" s="145"/>
    </row>
    <row r="12" s="109" customFormat="1" ht="30" customHeight="1" spans="1:257">
      <c r="A12" s="122" t="s">
        <v>1723</v>
      </c>
      <c r="B12" s="119">
        <v>4</v>
      </c>
      <c r="C12" s="119">
        <v>1</v>
      </c>
      <c r="D12" s="119">
        <f t="shared" si="0"/>
        <v>-1</v>
      </c>
      <c r="E12" s="119">
        <v>0</v>
      </c>
      <c r="F12" s="117">
        <v>0</v>
      </c>
      <c r="G12" s="136"/>
      <c r="IU12" s="145"/>
      <c r="IV12" s="145"/>
      <c r="IW12" s="145"/>
    </row>
    <row r="13" s="109" customFormat="1" ht="30" customHeight="1" spans="1:257">
      <c r="A13" s="122" t="s">
        <v>1724</v>
      </c>
      <c r="B13" s="130">
        <v>42</v>
      </c>
      <c r="C13" s="130">
        <v>12</v>
      </c>
      <c r="D13" s="119">
        <f t="shared" si="0"/>
        <v>28</v>
      </c>
      <c r="E13" s="119">
        <v>40</v>
      </c>
      <c r="F13" s="117">
        <v>36</v>
      </c>
      <c r="G13" s="136"/>
      <c r="IU13" s="145"/>
      <c r="IV13" s="145"/>
      <c r="IW13" s="145"/>
    </row>
    <row r="14" s="109" customFormat="1" ht="30" customHeight="1" spans="1:257">
      <c r="A14" s="122" t="s">
        <v>1725</v>
      </c>
      <c r="B14" s="119">
        <v>21601</v>
      </c>
      <c r="C14" s="119">
        <v>18315</v>
      </c>
      <c r="D14" s="119">
        <f t="shared" si="0"/>
        <v>-2308</v>
      </c>
      <c r="E14" s="119">
        <f>SUM(E15:E19)</f>
        <v>16007</v>
      </c>
      <c r="F14" s="117">
        <f>SUM(F15:F19)</f>
        <v>15037</v>
      </c>
      <c r="G14" s="136"/>
      <c r="IU14" s="145"/>
      <c r="IV14" s="145"/>
      <c r="IW14" s="145"/>
    </row>
    <row r="15" s="109" customFormat="1" ht="30" customHeight="1" spans="1:257">
      <c r="A15" s="122" t="s">
        <v>1726</v>
      </c>
      <c r="B15" s="119">
        <v>14966</v>
      </c>
      <c r="C15" s="119">
        <v>12064</v>
      </c>
      <c r="D15" s="119">
        <f t="shared" si="0"/>
        <v>1088</v>
      </c>
      <c r="E15" s="119">
        <v>13152</v>
      </c>
      <c r="F15" s="117">
        <v>12264</v>
      </c>
      <c r="G15" s="137"/>
      <c r="IU15" s="145"/>
      <c r="IV15" s="145"/>
      <c r="IW15" s="145"/>
    </row>
    <row r="16" s="109" customFormat="1" ht="30" customHeight="1" spans="1:257">
      <c r="A16" s="122" t="s">
        <v>1727</v>
      </c>
      <c r="B16" s="119">
        <v>6296</v>
      </c>
      <c r="C16" s="119">
        <v>5100</v>
      </c>
      <c r="D16" s="119">
        <f t="shared" si="0"/>
        <v>-3672</v>
      </c>
      <c r="E16" s="119">
        <v>1428</v>
      </c>
      <c r="F16" s="117">
        <v>1428</v>
      </c>
      <c r="G16" s="136"/>
      <c r="IU16" s="145"/>
      <c r="IV16" s="145"/>
      <c r="IW16" s="145"/>
    </row>
    <row r="17" s="109" customFormat="1" ht="30" customHeight="1" spans="1:257">
      <c r="A17" s="122" t="s">
        <v>1728</v>
      </c>
      <c r="B17" s="119">
        <v>249</v>
      </c>
      <c r="C17" s="119">
        <v>421</v>
      </c>
      <c r="D17" s="119">
        <f t="shared" si="0"/>
        <v>0</v>
      </c>
      <c r="E17" s="119">
        <v>421</v>
      </c>
      <c r="F17" s="117">
        <v>401</v>
      </c>
      <c r="G17" s="136"/>
      <c r="IU17" s="145"/>
      <c r="IV17" s="145"/>
      <c r="IW17" s="145"/>
    </row>
    <row r="18" s="109" customFormat="1" ht="30" customHeight="1" spans="1:257">
      <c r="A18" s="122" t="s">
        <v>1729</v>
      </c>
      <c r="B18" s="119">
        <v>90</v>
      </c>
      <c r="C18" s="119">
        <v>730</v>
      </c>
      <c r="D18" s="119">
        <f t="shared" si="0"/>
        <v>270</v>
      </c>
      <c r="E18" s="119">
        <v>1000</v>
      </c>
      <c r="F18" s="117">
        <v>939</v>
      </c>
      <c r="G18" s="136"/>
      <c r="IU18" s="145"/>
      <c r="IV18" s="145"/>
      <c r="IW18" s="145"/>
    </row>
    <row r="19" s="109" customFormat="1" ht="30" customHeight="1" spans="1:257">
      <c r="A19" s="122" t="s">
        <v>1730</v>
      </c>
      <c r="B19" s="119">
        <v>0</v>
      </c>
      <c r="C19" s="119">
        <v>0</v>
      </c>
      <c r="D19" s="119">
        <f t="shared" si="0"/>
        <v>6</v>
      </c>
      <c r="E19" s="119">
        <v>6</v>
      </c>
      <c r="F19" s="117">
        <v>5</v>
      </c>
      <c r="G19" s="136"/>
      <c r="IU19" s="145"/>
      <c r="IV19" s="145"/>
      <c r="IW19" s="145"/>
    </row>
    <row r="20" s="109" customFormat="1" ht="30" customHeight="1" spans="1:257">
      <c r="A20" s="12" t="s">
        <v>48</v>
      </c>
      <c r="B20" s="115">
        <f>SUM(B5)</f>
        <v>33853</v>
      </c>
      <c r="C20" s="115">
        <v>30486</v>
      </c>
      <c r="D20" s="115">
        <f t="shared" si="0"/>
        <v>-2964</v>
      </c>
      <c r="E20" s="115">
        <f>SUM(E5)</f>
        <v>27522</v>
      </c>
      <c r="F20" s="115">
        <f>F5</f>
        <v>25173</v>
      </c>
      <c r="G20" s="135"/>
      <c r="IU20" s="145"/>
      <c r="IV20" s="145"/>
      <c r="IW20" s="145"/>
    </row>
    <row r="21" s="128" customFormat="1" ht="30" customHeight="1" spans="1:257">
      <c r="A21" s="124" t="s">
        <v>1258</v>
      </c>
      <c r="B21" s="115">
        <f>SUM(B22,B25,B26)</f>
        <v>44236</v>
      </c>
      <c r="C21" s="115">
        <v>34397</v>
      </c>
      <c r="D21" s="115">
        <f t="shared" si="0"/>
        <v>1</v>
      </c>
      <c r="E21" s="115">
        <f>SUM(E22,E25,E26)</f>
        <v>34398</v>
      </c>
      <c r="F21" s="113">
        <f>SUM(F22,F25,F26)</f>
        <v>34398</v>
      </c>
      <c r="G21" s="135"/>
      <c r="IU21" s="144"/>
      <c r="IV21" s="144"/>
      <c r="IW21" s="144"/>
    </row>
    <row r="22" s="109" customFormat="1" ht="50" customHeight="1" spans="1:257">
      <c r="A22" s="122" t="s">
        <v>1731</v>
      </c>
      <c r="B22" s="119">
        <v>33691</v>
      </c>
      <c r="C22" s="119">
        <v>33869</v>
      </c>
      <c r="D22" s="119">
        <f t="shared" si="0"/>
        <v>0</v>
      </c>
      <c r="E22" s="119">
        <v>33869</v>
      </c>
      <c r="F22" s="117">
        <f>SUM(F23:F24)</f>
        <v>33869</v>
      </c>
      <c r="G22" s="138" t="s">
        <v>1732</v>
      </c>
      <c r="IU22" s="145"/>
      <c r="IV22" s="145"/>
      <c r="IW22" s="145"/>
    </row>
    <row r="23" s="109" customFormat="1" ht="30" customHeight="1" spans="1:257">
      <c r="A23" s="122" t="s">
        <v>1733</v>
      </c>
      <c r="B23" s="139">
        <v>16831</v>
      </c>
      <c r="C23" s="140">
        <v>17009</v>
      </c>
      <c r="D23" s="119">
        <f t="shared" si="0"/>
        <v>0</v>
      </c>
      <c r="E23" s="119">
        <v>17009</v>
      </c>
      <c r="F23" s="117">
        <v>17009</v>
      </c>
      <c r="G23" s="137"/>
      <c r="IU23" s="145"/>
      <c r="IV23" s="145"/>
      <c r="IW23" s="145"/>
    </row>
    <row r="24" s="109" customFormat="1" ht="30" customHeight="1" spans="1:257">
      <c r="A24" s="122" t="s">
        <v>1734</v>
      </c>
      <c r="B24" s="139">
        <v>16860</v>
      </c>
      <c r="C24" s="140">
        <v>16860</v>
      </c>
      <c r="D24" s="119">
        <f t="shared" si="0"/>
        <v>0</v>
      </c>
      <c r="E24" s="119">
        <v>16860</v>
      </c>
      <c r="F24" s="117">
        <v>16860</v>
      </c>
      <c r="G24" s="137"/>
      <c r="IU24" s="145"/>
      <c r="IV24" s="145"/>
      <c r="IW24" s="145"/>
    </row>
    <row r="25" s="109" customFormat="1" ht="30" customHeight="1" spans="1:257">
      <c r="A25" s="122" t="s">
        <v>1735</v>
      </c>
      <c r="B25" s="119">
        <v>10545</v>
      </c>
      <c r="C25" s="119">
        <v>0</v>
      </c>
      <c r="D25" s="119">
        <f t="shared" si="0"/>
        <v>0</v>
      </c>
      <c r="E25" s="119">
        <v>0</v>
      </c>
      <c r="F25" s="117"/>
      <c r="G25" s="136"/>
      <c r="IU25" s="145"/>
      <c r="IV25" s="145"/>
      <c r="IW25" s="145"/>
    </row>
    <row r="26" s="109" customFormat="1" ht="30" customHeight="1" spans="1:257">
      <c r="A26" s="122" t="s">
        <v>1736</v>
      </c>
      <c r="B26" s="119">
        <v>0</v>
      </c>
      <c r="C26" s="119">
        <v>528</v>
      </c>
      <c r="D26" s="119">
        <f t="shared" si="0"/>
        <v>1</v>
      </c>
      <c r="E26" s="119">
        <v>529</v>
      </c>
      <c r="F26" s="117">
        <v>529</v>
      </c>
      <c r="G26" s="136"/>
      <c r="IU26" s="145"/>
      <c r="IV26" s="145"/>
      <c r="IW26" s="145"/>
    </row>
    <row r="27" s="109" customFormat="1" ht="30" customHeight="1" spans="1:257">
      <c r="A27" s="12" t="s">
        <v>1737</v>
      </c>
      <c r="B27" s="141">
        <f>B20+B21</f>
        <v>78089</v>
      </c>
      <c r="C27" s="141">
        <v>64883</v>
      </c>
      <c r="D27" s="141">
        <f t="shared" si="0"/>
        <v>-2963</v>
      </c>
      <c r="E27" s="141">
        <f>E20+E21</f>
        <v>61920</v>
      </c>
      <c r="F27" s="115">
        <f>F20+F21</f>
        <v>59571</v>
      </c>
      <c r="G27" s="136"/>
      <c r="IU27" s="145"/>
      <c r="IV27" s="145"/>
      <c r="IW27" s="145"/>
    </row>
    <row r="28" s="101" customFormat="1" spans="2:257">
      <c r="B28" s="129"/>
      <c r="C28" s="129"/>
      <c r="D28" s="129"/>
      <c r="E28" s="129"/>
      <c r="G28" s="104"/>
      <c r="IU28" s="108"/>
      <c r="IV28" s="108"/>
      <c r="IW28" s="108"/>
    </row>
    <row r="29" s="101" customFormat="1" ht="17.25" customHeight="1" spans="2:257">
      <c r="B29" s="129"/>
      <c r="C29" s="129"/>
      <c r="D29" s="129"/>
      <c r="E29" s="129"/>
      <c r="G29" s="104"/>
      <c r="IU29" s="108"/>
      <c r="IV29" s="108"/>
      <c r="IW29" s="108"/>
    </row>
    <row r="31" spans="1:4">
      <c r="A31" s="142"/>
      <c r="B31" s="143"/>
      <c r="C31" s="143"/>
      <c r="D31" s="143"/>
    </row>
    <row r="32" spans="1:4">
      <c r="A32" s="142"/>
      <c r="B32" s="143"/>
      <c r="C32" s="143"/>
      <c r="D32" s="143"/>
    </row>
    <row r="33" spans="1:4">
      <c r="A33" s="142"/>
      <c r="B33" s="143"/>
      <c r="C33" s="143"/>
      <c r="D33" s="143"/>
    </row>
    <row r="34" spans="1:4">
      <c r="A34" s="142"/>
      <c r="B34" s="143"/>
      <c r="C34" s="143"/>
      <c r="D34" s="143"/>
    </row>
    <row r="35" spans="1:4">
      <c r="A35" s="142"/>
      <c r="B35" s="143"/>
      <c r="C35" s="143"/>
      <c r="D35" s="143"/>
    </row>
    <row r="36" spans="1:4">
      <c r="A36" s="142"/>
      <c r="B36" s="143"/>
      <c r="C36" s="143"/>
      <c r="D36" s="143"/>
    </row>
  </sheetData>
  <mergeCells count="1">
    <mergeCell ref="A2:G2"/>
  </mergeCells>
  <printOptions horizontalCentered="1"/>
  <pageMargins left="0.786805555555556" right="0.786805555555556" top="0.393055555555556" bottom="0.393055555555556" header="0.196527777777778" footer="0.196527777777778"/>
  <pageSetup paperSize="9" scale="62"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topLeftCell="A12" workbookViewId="0">
      <selection activeCell="C3" sqref="C3"/>
    </sheetView>
  </sheetViews>
  <sheetFormatPr defaultColWidth="9" defaultRowHeight="14.25"/>
  <cols>
    <col min="1" max="1" width="15.625" style="106" customWidth="1"/>
    <col min="2" max="2" width="6" style="107" hidden="1" customWidth="1"/>
    <col min="3" max="3" width="50.625" style="101" customWidth="1"/>
    <col min="4" max="4" width="13.5" style="101" hidden="1" customWidth="1"/>
    <col min="5" max="7" width="20.625" style="101" customWidth="1"/>
    <col min="8" max="8" width="12.125" style="101" hidden="1" customWidth="1"/>
    <col min="9" max="9" width="20.625" style="101" customWidth="1"/>
    <col min="10" max="254" width="9" style="101"/>
    <col min="255" max="16384" width="9" style="108"/>
  </cols>
  <sheetData>
    <row r="1" s="101" customFormat="1" ht="20" customHeight="1" spans="1:257">
      <c r="A1" s="109" t="s">
        <v>1738</v>
      </c>
      <c r="B1" s="107"/>
      <c r="IU1" s="108"/>
      <c r="IV1" s="108"/>
      <c r="IW1" s="108"/>
    </row>
    <row r="2" s="101" customFormat="1" ht="30" customHeight="1" spans="1:257">
      <c r="A2" s="8" t="s">
        <v>1739</v>
      </c>
      <c r="B2" s="8"/>
      <c r="C2" s="8"/>
      <c r="D2" s="8"/>
      <c r="E2" s="8"/>
      <c r="F2" s="8"/>
      <c r="G2" s="8"/>
      <c r="H2" s="8"/>
      <c r="I2" s="8"/>
      <c r="IU2" s="108"/>
      <c r="IV2" s="108"/>
      <c r="IW2" s="108"/>
    </row>
    <row r="3" s="102" customFormat="1" ht="20" customHeight="1" spans="1:9">
      <c r="A3" s="110"/>
      <c r="B3" s="111"/>
      <c r="H3" s="11"/>
      <c r="I3" s="11" t="s">
        <v>5</v>
      </c>
    </row>
    <row r="4" s="102" customFormat="1" ht="28.5" hidden="1" customHeight="1" spans="1:2">
      <c r="A4" s="110"/>
      <c r="B4" s="111"/>
    </row>
    <row r="5" s="102" customFormat="1" ht="30" customHeight="1" spans="1:9">
      <c r="A5" s="13" t="s">
        <v>1693</v>
      </c>
      <c r="B5" s="13"/>
      <c r="C5" s="13" t="s">
        <v>63</v>
      </c>
      <c r="D5" s="13" t="s">
        <v>1740</v>
      </c>
      <c r="E5" s="112" t="s">
        <v>7</v>
      </c>
      <c r="F5" s="13" t="s">
        <v>8</v>
      </c>
      <c r="G5" s="13" t="s">
        <v>9</v>
      </c>
      <c r="H5" s="13" t="s">
        <v>1741</v>
      </c>
      <c r="I5" s="13" t="s">
        <v>11</v>
      </c>
    </row>
    <row r="6" s="103" customFormat="1" ht="30" customHeight="1" spans="1:9">
      <c r="A6" s="113" t="s">
        <v>1742</v>
      </c>
      <c r="B6" s="113"/>
      <c r="C6" s="113" t="s">
        <v>1743</v>
      </c>
      <c r="D6" s="114">
        <f>SUM(D7,D13)</f>
        <v>27627</v>
      </c>
      <c r="E6" s="115">
        <v>28131</v>
      </c>
      <c r="F6" s="115">
        <f>+G6-E6</f>
        <v>-1208</v>
      </c>
      <c r="G6" s="115">
        <f>SUM(G7,G13)</f>
        <v>26923</v>
      </c>
      <c r="H6" s="116">
        <f>SUM(H7,H13)</f>
        <v>25398</v>
      </c>
      <c r="I6" s="113"/>
    </row>
    <row r="7" s="104" customFormat="1" ht="30" customHeight="1" spans="1:9">
      <c r="A7" s="117" t="s">
        <v>1744</v>
      </c>
      <c r="B7" s="117"/>
      <c r="C7" s="117" t="s">
        <v>1745</v>
      </c>
      <c r="D7" s="118">
        <v>10545</v>
      </c>
      <c r="E7" s="119">
        <v>10316</v>
      </c>
      <c r="F7" s="120">
        <f t="shared" ref="F7:F22" si="0">+G7-E7</f>
        <v>-1025</v>
      </c>
      <c r="G7" s="119">
        <f>SUM(G8:G12)</f>
        <v>9291</v>
      </c>
      <c r="H7" s="121">
        <f>SUM(H8:H10)</f>
        <v>8660</v>
      </c>
      <c r="I7" s="117"/>
    </row>
    <row r="8" s="104" customFormat="1" ht="30" customHeight="1" spans="1:9">
      <c r="A8" s="117" t="s">
        <v>1746</v>
      </c>
      <c r="B8" s="117"/>
      <c r="C8" s="117" t="s">
        <v>1747</v>
      </c>
      <c r="D8" s="118">
        <v>9622</v>
      </c>
      <c r="E8" s="119">
        <v>9622</v>
      </c>
      <c r="F8" s="120">
        <f t="shared" si="0"/>
        <v>-1093</v>
      </c>
      <c r="G8" s="119">
        <v>8529</v>
      </c>
      <c r="H8" s="121">
        <v>8032</v>
      </c>
      <c r="I8" s="117"/>
    </row>
    <row r="9" s="104" customFormat="1" ht="30" customHeight="1" spans="1:9">
      <c r="A9" s="122" t="s">
        <v>1748</v>
      </c>
      <c r="B9" s="117"/>
      <c r="C9" s="117" t="s">
        <v>1749</v>
      </c>
      <c r="D9" s="118">
        <v>833</v>
      </c>
      <c r="E9" s="119">
        <v>631</v>
      </c>
      <c r="F9" s="120">
        <f t="shared" si="0"/>
        <v>12</v>
      </c>
      <c r="G9" s="119">
        <v>643</v>
      </c>
      <c r="H9" s="121">
        <v>569</v>
      </c>
      <c r="I9" s="117"/>
    </row>
    <row r="10" s="104" customFormat="1" ht="30" customHeight="1" spans="1:9">
      <c r="A10" s="122">
        <v>2091003</v>
      </c>
      <c r="B10" s="117"/>
      <c r="C10" s="117" t="s">
        <v>1750</v>
      </c>
      <c r="D10" s="118">
        <v>89</v>
      </c>
      <c r="E10" s="119">
        <v>63</v>
      </c>
      <c r="F10" s="120">
        <f t="shared" si="0"/>
        <v>56</v>
      </c>
      <c r="G10" s="119">
        <v>119</v>
      </c>
      <c r="H10" s="121">
        <v>59</v>
      </c>
      <c r="I10" s="117"/>
    </row>
    <row r="11" s="104" customFormat="1" ht="30" customHeight="1" spans="1:9">
      <c r="A11" s="122">
        <v>2301704</v>
      </c>
      <c r="B11" s="117"/>
      <c r="C11" s="117" t="s">
        <v>1751</v>
      </c>
      <c r="D11" s="118">
        <v>1</v>
      </c>
      <c r="E11" s="119">
        <v>0</v>
      </c>
      <c r="F11" s="120">
        <f t="shared" si="0"/>
        <v>0</v>
      </c>
      <c r="G11" s="119">
        <v>0</v>
      </c>
      <c r="H11" s="121"/>
      <c r="I11" s="117"/>
    </row>
    <row r="12" s="104" customFormat="1" ht="30" customHeight="1" spans="1:9">
      <c r="A12" s="122">
        <v>2091099</v>
      </c>
      <c r="B12" s="117"/>
      <c r="C12" s="117" t="s">
        <v>1752</v>
      </c>
      <c r="D12" s="118">
        <v>0</v>
      </c>
      <c r="E12" s="119">
        <v>0</v>
      </c>
      <c r="F12" s="120">
        <f t="shared" si="0"/>
        <v>0</v>
      </c>
      <c r="G12" s="119">
        <v>0</v>
      </c>
      <c r="H12" s="121"/>
      <c r="I12" s="117"/>
    </row>
    <row r="13" s="104" customFormat="1" ht="30" customHeight="1" spans="1:9">
      <c r="A13" s="122">
        <v>20911</v>
      </c>
      <c r="B13" s="117"/>
      <c r="C13" s="117" t="s">
        <v>1753</v>
      </c>
      <c r="D13" s="118">
        <f>SUM(D14:D15)</f>
        <v>17082</v>
      </c>
      <c r="E13" s="119">
        <v>17815</v>
      </c>
      <c r="F13" s="120">
        <f t="shared" si="0"/>
        <v>-183</v>
      </c>
      <c r="G13" s="119">
        <f>SUM(G14:G15)</f>
        <v>17632</v>
      </c>
      <c r="H13" s="121">
        <f>SUM(H14:H15)</f>
        <v>16738</v>
      </c>
      <c r="I13" s="117"/>
    </row>
    <row r="14" s="104" customFormat="1" ht="30" customHeight="1" spans="1:9">
      <c r="A14" s="122">
        <v>2091101</v>
      </c>
      <c r="B14" s="117"/>
      <c r="C14" s="117" t="s">
        <v>1754</v>
      </c>
      <c r="D14" s="118">
        <v>17082</v>
      </c>
      <c r="E14" s="119">
        <v>17809</v>
      </c>
      <c r="F14" s="120">
        <f t="shared" si="0"/>
        <v>-183</v>
      </c>
      <c r="G14" s="123">
        <v>17626</v>
      </c>
      <c r="H14" s="121">
        <v>16732</v>
      </c>
      <c r="I14" s="117"/>
    </row>
    <row r="15" s="104" customFormat="1" ht="30" customHeight="1" spans="1:9">
      <c r="A15" s="122">
        <v>2301705</v>
      </c>
      <c r="B15" s="117"/>
      <c r="C15" s="117" t="s">
        <v>1751</v>
      </c>
      <c r="D15" s="118">
        <v>0</v>
      </c>
      <c r="E15" s="119">
        <v>6</v>
      </c>
      <c r="F15" s="120">
        <f t="shared" si="0"/>
        <v>0</v>
      </c>
      <c r="G15" s="123">
        <v>6</v>
      </c>
      <c r="H15" s="121">
        <v>6</v>
      </c>
      <c r="I15" s="117"/>
    </row>
    <row r="16" s="105" customFormat="1" ht="30" customHeight="1" spans="1:257">
      <c r="A16" s="124" t="s">
        <v>1392</v>
      </c>
      <c r="B16" s="113"/>
      <c r="C16" s="113" t="s">
        <v>489</v>
      </c>
      <c r="D16" s="115">
        <f>SUM(D17:D19)</f>
        <v>50462</v>
      </c>
      <c r="E16" s="115">
        <v>36752</v>
      </c>
      <c r="F16" s="115">
        <f t="shared" si="0"/>
        <v>-1755</v>
      </c>
      <c r="G16" s="115">
        <f>SUM(G17:G19)</f>
        <v>34997</v>
      </c>
      <c r="H16" s="125">
        <f>SUM(H17:H19)</f>
        <v>34173</v>
      </c>
      <c r="I16" s="113"/>
      <c r="IU16" s="127"/>
      <c r="IV16" s="127"/>
      <c r="IW16" s="127"/>
    </row>
    <row r="17" s="101" customFormat="1" ht="30" customHeight="1" spans="1:257">
      <c r="A17" s="122">
        <v>2301905</v>
      </c>
      <c r="B17" s="117"/>
      <c r="C17" s="122" t="s">
        <v>1755</v>
      </c>
      <c r="D17" s="119">
        <v>11984</v>
      </c>
      <c r="E17" s="119">
        <v>0</v>
      </c>
      <c r="F17" s="120">
        <f t="shared" si="0"/>
        <v>0</v>
      </c>
      <c r="G17" s="119">
        <v>0</v>
      </c>
      <c r="H17" s="126"/>
      <c r="I17" s="117"/>
      <c r="IU17" s="108"/>
      <c r="IV17" s="108"/>
      <c r="IW17" s="108"/>
    </row>
    <row r="18" s="101" customFormat="1" ht="30" customHeight="1" spans="1:257">
      <c r="A18" s="122">
        <v>2301906</v>
      </c>
      <c r="B18" s="117"/>
      <c r="C18" s="122" t="s">
        <v>1756</v>
      </c>
      <c r="D18" s="119">
        <v>0</v>
      </c>
      <c r="E18" s="119">
        <v>1206</v>
      </c>
      <c r="F18" s="120">
        <f t="shared" si="0"/>
        <v>-560</v>
      </c>
      <c r="G18" s="119">
        <v>646</v>
      </c>
      <c r="H18" s="126">
        <v>626</v>
      </c>
      <c r="I18" s="117"/>
      <c r="IU18" s="108"/>
      <c r="IV18" s="108"/>
      <c r="IW18" s="108"/>
    </row>
    <row r="19" s="101" customFormat="1" ht="30" customHeight="1" spans="1:257">
      <c r="A19" s="122">
        <v>23009</v>
      </c>
      <c r="B19" s="117"/>
      <c r="C19" s="117" t="s">
        <v>1757</v>
      </c>
      <c r="D19" s="119">
        <v>38478</v>
      </c>
      <c r="E19" s="119">
        <v>35546</v>
      </c>
      <c r="F19" s="120">
        <f t="shared" si="0"/>
        <v>-1195</v>
      </c>
      <c r="G19" s="119">
        <f>SUM(G20:G21)</f>
        <v>34351</v>
      </c>
      <c r="H19" s="119">
        <f t="shared" ref="F19:H19" si="1">SUM(H20:H21)</f>
        <v>33547</v>
      </c>
      <c r="I19" s="119"/>
      <c r="IU19" s="108"/>
      <c r="IV19" s="108"/>
      <c r="IW19" s="108"/>
    </row>
    <row r="20" s="101" customFormat="1" ht="30" customHeight="1" spans="1:257">
      <c r="A20" s="122">
        <v>2300915</v>
      </c>
      <c r="B20" s="117"/>
      <c r="C20" s="122" t="s">
        <v>1758</v>
      </c>
      <c r="D20" s="119">
        <v>17099</v>
      </c>
      <c r="E20" s="119">
        <v>18864</v>
      </c>
      <c r="F20" s="120">
        <f t="shared" si="0"/>
        <v>369</v>
      </c>
      <c r="G20" s="119">
        <v>19233</v>
      </c>
      <c r="H20" s="119">
        <v>18485</v>
      </c>
      <c r="I20" s="119"/>
      <c r="IU20" s="108"/>
      <c r="IV20" s="108"/>
      <c r="IW20" s="108"/>
    </row>
    <row r="21" s="101" customFormat="1" ht="30" customHeight="1" spans="1:257">
      <c r="A21" s="122">
        <v>2300916</v>
      </c>
      <c r="B21" s="117"/>
      <c r="C21" s="122" t="s">
        <v>1759</v>
      </c>
      <c r="D21" s="119">
        <v>21379</v>
      </c>
      <c r="E21" s="119">
        <v>16682</v>
      </c>
      <c r="F21" s="120">
        <f t="shared" si="0"/>
        <v>-1564</v>
      </c>
      <c r="G21" s="119">
        <v>15118</v>
      </c>
      <c r="H21" s="119">
        <f>'（附表11）社会保险基金收入表'!F24+'（附表11）社会保险基金收入表'!F26+'（附表11）社会保险基金收入表'!F14-H18-H13</f>
        <v>15062</v>
      </c>
      <c r="I21" s="119"/>
      <c r="IU21" s="108"/>
      <c r="IV21" s="108"/>
      <c r="IW21" s="108"/>
    </row>
    <row r="22" s="105" customFormat="1" ht="30" customHeight="1" spans="1:257">
      <c r="A22" s="113"/>
      <c r="B22" s="113"/>
      <c r="C22" s="12" t="s">
        <v>1760</v>
      </c>
      <c r="D22" s="115">
        <f>D6+D16</f>
        <v>78089</v>
      </c>
      <c r="E22" s="115">
        <v>64883</v>
      </c>
      <c r="F22" s="115">
        <f t="shared" si="0"/>
        <v>-2963</v>
      </c>
      <c r="G22" s="115">
        <f>G6+G16</f>
        <v>61920</v>
      </c>
      <c r="H22" s="115">
        <f>H6+H16</f>
        <v>59571</v>
      </c>
      <c r="I22" s="115"/>
      <c r="IU22" s="127"/>
      <c r="IV22" s="127"/>
      <c r="IW22" s="127"/>
    </row>
    <row r="23" s="101" customFormat="1" spans="1:257">
      <c r="A23" s="106"/>
      <c r="B23" s="107"/>
      <c r="IU23" s="108"/>
      <c r="IV23" s="108"/>
      <c r="IW23" s="108"/>
    </row>
    <row r="24" s="101" customFormat="1" spans="2:257">
      <c r="B24" s="107"/>
      <c r="IU24" s="108"/>
      <c r="IV24" s="108"/>
      <c r="IW24" s="108"/>
    </row>
  </sheetData>
  <mergeCells count="1">
    <mergeCell ref="A2:I2"/>
  </mergeCells>
  <printOptions horizontalCentered="1"/>
  <pageMargins left="0.786805555555556" right="0.786805555555556" top="0.393055555555556" bottom="0.393055555555556" header="0.196527777777778" footer="0.196527777777778"/>
  <pageSetup paperSize="9" scale="75"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2"/>
  <sheetViews>
    <sheetView showZeros="0" zoomScale="80" zoomScaleNormal="80" zoomScaleSheetLayoutView="90" topLeftCell="C1" workbookViewId="0">
      <selection activeCell="A7" sqref="A7:C7"/>
    </sheetView>
  </sheetViews>
  <sheetFormatPr defaultColWidth="9" defaultRowHeight="13.5"/>
  <cols>
    <col min="1" max="1" width="10.625" style="77" customWidth="1"/>
    <col min="2" max="2" width="20.625" style="77" customWidth="1"/>
    <col min="3" max="3" width="30.625" style="77" customWidth="1"/>
    <col min="4" max="4" width="10.625" style="78" customWidth="1"/>
    <col min="5" max="5" width="26.625" style="77" customWidth="1"/>
    <col min="6" max="6" width="10.625" style="78" customWidth="1"/>
    <col min="7" max="7" width="26.625" style="77" customWidth="1"/>
    <col min="8" max="8" width="10.625" style="78" customWidth="1"/>
    <col min="9" max="9" width="26.625" style="77" customWidth="1"/>
    <col min="10" max="10" width="10.625" style="78" customWidth="1"/>
    <col min="11" max="11" width="26.625" style="77" customWidth="1"/>
    <col min="12" max="12" width="10.625" style="78" customWidth="1"/>
    <col min="13" max="13" width="26.625" style="77" customWidth="1"/>
    <col min="14" max="14" width="10.625" style="78" customWidth="1"/>
    <col min="15" max="15" width="20.625" style="79" customWidth="1"/>
    <col min="16" max="16" width="12.625" style="77"/>
    <col min="17" max="17" width="9" style="77"/>
    <col min="18" max="18" width="13.75" style="77"/>
    <col min="19" max="19" width="12.625" style="77"/>
    <col min="20" max="20" width="13.75" style="77"/>
    <col min="21" max="21" width="11.5" style="77"/>
    <col min="22" max="22" width="13.75" style="77"/>
    <col min="23" max="23" width="9.375" style="77"/>
    <col min="24" max="24" width="9" style="77"/>
    <col min="25" max="25" width="12.625" style="77"/>
    <col min="26" max="26" width="11.5" style="77"/>
    <col min="27" max="28" width="12.625" style="77"/>
    <col min="29" max="30" width="9" style="77"/>
    <col min="31" max="33" width="12.625" style="77"/>
    <col min="34" max="35" width="11.5" style="77"/>
    <col min="36" max="36" width="9" style="77"/>
    <col min="37" max="37" width="12.625" style="77"/>
    <col min="38" max="38" width="11.5" style="77"/>
    <col min="39" max="40" width="12.625" style="77"/>
    <col min="41" max="42" width="11.5" style="77"/>
    <col min="43" max="43" width="12.625" style="77"/>
    <col min="44" max="44" width="9" style="77"/>
    <col min="45" max="45" width="12.625" style="77"/>
    <col min="46" max="46" width="9" style="77"/>
    <col min="47" max="47" width="12.625" style="77"/>
    <col min="48" max="16384" width="9" style="77"/>
  </cols>
  <sheetData>
    <row r="1" s="72" customFormat="1" ht="20" customHeight="1" spans="1:13">
      <c r="A1" s="80" t="s">
        <v>1761</v>
      </c>
      <c r="B1" s="81"/>
      <c r="C1" s="81"/>
      <c r="D1" s="81"/>
      <c r="E1" s="81"/>
      <c r="F1" s="81"/>
      <c r="G1" s="82"/>
      <c r="H1" s="82"/>
      <c r="I1" s="96"/>
      <c r="K1" s="96"/>
      <c r="M1" s="96"/>
    </row>
    <row r="2" s="73" customFormat="1" ht="30" customHeight="1" spans="1:15">
      <c r="A2" s="83" t="s">
        <v>1762</v>
      </c>
      <c r="B2" s="83"/>
      <c r="C2" s="83"/>
      <c r="D2" s="84"/>
      <c r="E2" s="83"/>
      <c r="F2" s="84"/>
      <c r="G2" s="83"/>
      <c r="H2" s="84"/>
      <c r="I2" s="83"/>
      <c r="J2" s="84"/>
      <c r="K2" s="83"/>
      <c r="L2" s="84"/>
      <c r="M2" s="83"/>
      <c r="N2" s="84"/>
      <c r="O2" s="83"/>
    </row>
    <row r="3" s="74" customFormat="1" ht="20" customHeight="1" spans="1:15">
      <c r="A3" s="85"/>
      <c r="B3" s="85"/>
      <c r="C3" s="86"/>
      <c r="D3" s="87"/>
      <c r="F3" s="87"/>
      <c r="H3" s="87"/>
      <c r="J3" s="87"/>
      <c r="L3" s="87"/>
      <c r="N3" s="87"/>
      <c r="O3" s="97" t="s">
        <v>5</v>
      </c>
    </row>
    <row r="4" s="75" customFormat="1" ht="30" customHeight="1" spans="1:15">
      <c r="A4" s="88" t="s">
        <v>503</v>
      </c>
      <c r="B4" s="88" t="s">
        <v>1763</v>
      </c>
      <c r="C4" s="88" t="s">
        <v>506</v>
      </c>
      <c r="D4" s="89" t="s">
        <v>67</v>
      </c>
      <c r="E4" s="90" t="s">
        <v>1764</v>
      </c>
      <c r="F4" s="90"/>
      <c r="G4" s="90"/>
      <c r="H4" s="90"/>
      <c r="I4" s="90"/>
      <c r="J4" s="90"/>
      <c r="K4" s="90"/>
      <c r="L4" s="90"/>
      <c r="M4" s="90"/>
      <c r="N4" s="90"/>
      <c r="O4" s="88" t="s">
        <v>11</v>
      </c>
    </row>
    <row r="5" s="75" customFormat="1" ht="30" customHeight="1" spans="1:15">
      <c r="A5" s="88"/>
      <c r="B5" s="88"/>
      <c r="C5" s="88"/>
      <c r="D5" s="89"/>
      <c r="E5" s="88" t="s">
        <v>1765</v>
      </c>
      <c r="F5" s="89"/>
      <c r="G5" s="88" t="s">
        <v>1766</v>
      </c>
      <c r="H5" s="89"/>
      <c r="I5" s="88" t="s">
        <v>1767</v>
      </c>
      <c r="J5" s="89"/>
      <c r="K5" s="88" t="s">
        <v>1768</v>
      </c>
      <c r="L5" s="89"/>
      <c r="M5" s="88" t="s">
        <v>1769</v>
      </c>
      <c r="N5" s="89"/>
      <c r="O5" s="88"/>
    </row>
    <row r="6" s="75" customFormat="1" ht="30" customHeight="1" spans="1:15">
      <c r="A6" s="88"/>
      <c r="B6" s="88"/>
      <c r="C6" s="88"/>
      <c r="D6" s="89"/>
      <c r="E6" s="88" t="s">
        <v>1770</v>
      </c>
      <c r="F6" s="89" t="s">
        <v>1771</v>
      </c>
      <c r="G6" s="88" t="s">
        <v>1770</v>
      </c>
      <c r="H6" s="89" t="s">
        <v>1771</v>
      </c>
      <c r="I6" s="88" t="s">
        <v>1770</v>
      </c>
      <c r="J6" s="89" t="s">
        <v>1771</v>
      </c>
      <c r="K6" s="88" t="s">
        <v>1770</v>
      </c>
      <c r="L6" s="89" t="s">
        <v>1771</v>
      </c>
      <c r="M6" s="88" t="s">
        <v>1770</v>
      </c>
      <c r="N6" s="89" t="s">
        <v>1771</v>
      </c>
      <c r="O6" s="88"/>
    </row>
    <row r="7" s="76" customFormat="1" ht="55" customHeight="1" spans="1:15">
      <c r="A7" s="91" t="s">
        <v>67</v>
      </c>
      <c r="B7" s="91"/>
      <c r="C7" s="91"/>
      <c r="D7" s="92">
        <f t="shared" ref="D7:D22" si="0">F7+H7+J7+L7+N7</f>
        <v>180500</v>
      </c>
      <c r="E7" s="93"/>
      <c r="F7" s="92">
        <f t="shared" ref="F7:J7" si="1">F8+F11</f>
        <v>29000</v>
      </c>
      <c r="G7" s="93"/>
      <c r="H7" s="92">
        <f t="shared" si="1"/>
        <v>35000</v>
      </c>
      <c r="I7" s="93"/>
      <c r="J7" s="92">
        <f t="shared" si="1"/>
        <v>46000</v>
      </c>
      <c r="K7" s="93"/>
      <c r="L7" s="92">
        <f>L8+L11</f>
        <v>28000</v>
      </c>
      <c r="M7" s="93"/>
      <c r="N7" s="92">
        <f>N8+N11</f>
        <v>42500</v>
      </c>
      <c r="O7" s="98"/>
    </row>
    <row r="8" s="76" customFormat="1" ht="55" customHeight="1" spans="1:15">
      <c r="A8" s="94" t="s">
        <v>1772</v>
      </c>
      <c r="B8" s="94"/>
      <c r="C8" s="94"/>
      <c r="D8" s="92">
        <f t="shared" si="0"/>
        <v>10500</v>
      </c>
      <c r="E8" s="93"/>
      <c r="F8" s="92">
        <f t="shared" ref="F8:J8" si="2">SUM(F9:F10)</f>
        <v>5000</v>
      </c>
      <c r="G8" s="93"/>
      <c r="H8" s="92">
        <f t="shared" si="2"/>
        <v>1000</v>
      </c>
      <c r="I8" s="93"/>
      <c r="J8" s="92">
        <f t="shared" si="2"/>
        <v>4500</v>
      </c>
      <c r="K8" s="93"/>
      <c r="L8" s="92">
        <f>SUM(L9:L10)</f>
        <v>0</v>
      </c>
      <c r="M8" s="93"/>
      <c r="N8" s="92">
        <f>SUM(N9:N10)</f>
        <v>0</v>
      </c>
      <c r="O8" s="98"/>
    </row>
    <row r="9" s="76" customFormat="1" ht="55" customHeight="1" spans="1:15">
      <c r="A9" s="19">
        <v>1</v>
      </c>
      <c r="B9" s="25" t="s">
        <v>1773</v>
      </c>
      <c r="C9" s="25" t="s">
        <v>1774</v>
      </c>
      <c r="D9" s="95">
        <f t="shared" si="0"/>
        <v>6900</v>
      </c>
      <c r="E9" s="25" t="s">
        <v>1775</v>
      </c>
      <c r="F9" s="95">
        <v>3000</v>
      </c>
      <c r="G9" s="25"/>
      <c r="H9" s="95">
        <v>0</v>
      </c>
      <c r="I9" s="25" t="s">
        <v>1776</v>
      </c>
      <c r="J9" s="95">
        <f>3477+423</f>
        <v>3900</v>
      </c>
      <c r="K9" s="25"/>
      <c r="L9" s="95"/>
      <c r="M9" s="25"/>
      <c r="N9" s="95"/>
      <c r="O9" s="99"/>
    </row>
    <row r="10" s="76" customFormat="1" ht="55" customHeight="1" spans="1:15">
      <c r="A10" s="19">
        <v>2</v>
      </c>
      <c r="B10" s="25" t="s">
        <v>1777</v>
      </c>
      <c r="C10" s="25" t="s">
        <v>1778</v>
      </c>
      <c r="D10" s="95">
        <f t="shared" si="0"/>
        <v>3600</v>
      </c>
      <c r="E10" s="25" t="s">
        <v>1775</v>
      </c>
      <c r="F10" s="95">
        <v>2000</v>
      </c>
      <c r="G10" s="25" t="s">
        <v>1779</v>
      </c>
      <c r="H10" s="95">
        <v>1000</v>
      </c>
      <c r="I10" s="25" t="s">
        <v>1776</v>
      </c>
      <c r="J10" s="95">
        <v>600</v>
      </c>
      <c r="K10" s="25"/>
      <c r="L10" s="95"/>
      <c r="M10" s="25"/>
      <c r="N10" s="95"/>
      <c r="O10" s="99"/>
    </row>
    <row r="11" s="76" customFormat="1" ht="55" customHeight="1" spans="1:15">
      <c r="A11" s="94" t="s">
        <v>1780</v>
      </c>
      <c r="B11" s="94"/>
      <c r="C11" s="94"/>
      <c r="D11" s="92">
        <f t="shared" si="0"/>
        <v>170000</v>
      </c>
      <c r="E11" s="93"/>
      <c r="F11" s="92">
        <f t="shared" ref="F11:J11" si="3">SUM(F12:F22)</f>
        <v>24000</v>
      </c>
      <c r="G11" s="93"/>
      <c r="H11" s="92">
        <f t="shared" si="3"/>
        <v>34000</v>
      </c>
      <c r="I11" s="93"/>
      <c r="J11" s="92">
        <f t="shared" si="3"/>
        <v>41500</v>
      </c>
      <c r="K11" s="93"/>
      <c r="L11" s="92">
        <f>SUM(L12:L22)</f>
        <v>28000</v>
      </c>
      <c r="M11" s="93"/>
      <c r="N11" s="92">
        <f>SUM(N12:N22)</f>
        <v>42500</v>
      </c>
      <c r="O11" s="100"/>
    </row>
    <row r="12" s="76" customFormat="1" ht="55" customHeight="1" spans="1:15">
      <c r="A12" s="19">
        <v>1</v>
      </c>
      <c r="B12" s="25" t="s">
        <v>1781</v>
      </c>
      <c r="C12" s="25" t="s">
        <v>1782</v>
      </c>
      <c r="D12" s="95">
        <f t="shared" si="0"/>
        <v>34000</v>
      </c>
      <c r="E12" s="25" t="s">
        <v>1783</v>
      </c>
      <c r="F12" s="95">
        <v>18000</v>
      </c>
      <c r="G12" s="25" t="s">
        <v>1784</v>
      </c>
      <c r="H12" s="95">
        <v>9000</v>
      </c>
      <c r="I12" s="25" t="s">
        <v>1785</v>
      </c>
      <c r="J12" s="95">
        <v>2000</v>
      </c>
      <c r="K12" s="25" t="s">
        <v>1786</v>
      </c>
      <c r="L12" s="95">
        <v>5000</v>
      </c>
      <c r="M12" s="25"/>
      <c r="N12" s="95"/>
      <c r="O12" s="99"/>
    </row>
    <row r="13" s="76" customFormat="1" ht="55" customHeight="1" spans="1:15">
      <c r="A13" s="19">
        <v>2</v>
      </c>
      <c r="B13" s="25" t="s">
        <v>1787</v>
      </c>
      <c r="C13" s="25" t="s">
        <v>1788</v>
      </c>
      <c r="D13" s="95">
        <f t="shared" si="0"/>
        <v>7000</v>
      </c>
      <c r="E13" s="25" t="s">
        <v>1789</v>
      </c>
      <c r="F13" s="95">
        <v>6000</v>
      </c>
      <c r="G13" s="25" t="s">
        <v>1790</v>
      </c>
      <c r="H13" s="95">
        <v>1000</v>
      </c>
      <c r="I13" s="25"/>
      <c r="J13" s="95">
        <v>0</v>
      </c>
      <c r="K13" s="25"/>
      <c r="L13" s="95"/>
      <c r="M13" s="25"/>
      <c r="N13" s="95"/>
      <c r="O13" s="99"/>
    </row>
    <row r="14" s="76" customFormat="1" ht="55" customHeight="1" spans="1:15">
      <c r="A14" s="19">
        <v>3</v>
      </c>
      <c r="B14" s="25" t="s">
        <v>1791</v>
      </c>
      <c r="C14" s="25" t="s">
        <v>1482</v>
      </c>
      <c r="D14" s="95">
        <f t="shared" si="0"/>
        <v>13000</v>
      </c>
      <c r="E14" s="25"/>
      <c r="F14" s="95">
        <v>0</v>
      </c>
      <c r="G14" s="25" t="s">
        <v>1784</v>
      </c>
      <c r="H14" s="95">
        <v>13000</v>
      </c>
      <c r="I14" s="25"/>
      <c r="J14" s="95">
        <v>0</v>
      </c>
      <c r="K14" s="25"/>
      <c r="L14" s="95"/>
      <c r="M14" s="25"/>
      <c r="N14" s="95"/>
      <c r="O14" s="99"/>
    </row>
    <row r="15" s="76" customFormat="1" ht="55" customHeight="1" spans="1:15">
      <c r="A15" s="19">
        <v>4</v>
      </c>
      <c r="B15" s="25" t="s">
        <v>1791</v>
      </c>
      <c r="C15" s="25" t="s">
        <v>1483</v>
      </c>
      <c r="D15" s="95">
        <f t="shared" si="0"/>
        <v>11000</v>
      </c>
      <c r="E15" s="25"/>
      <c r="F15" s="95">
        <v>0</v>
      </c>
      <c r="G15" s="25" t="s">
        <v>1784</v>
      </c>
      <c r="H15" s="95">
        <v>11000</v>
      </c>
      <c r="I15" s="25"/>
      <c r="J15" s="95">
        <v>0</v>
      </c>
      <c r="K15" s="25"/>
      <c r="L15" s="95"/>
      <c r="M15" s="25"/>
      <c r="N15" s="95"/>
      <c r="O15" s="99"/>
    </row>
    <row r="16" s="76" customFormat="1" ht="55" customHeight="1" spans="1:15">
      <c r="A16" s="19">
        <v>5</v>
      </c>
      <c r="B16" s="25" t="s">
        <v>1792</v>
      </c>
      <c r="C16" s="25" t="s">
        <v>1577</v>
      </c>
      <c r="D16" s="95">
        <f t="shared" si="0"/>
        <v>12000</v>
      </c>
      <c r="E16" s="25"/>
      <c r="F16" s="95">
        <v>0</v>
      </c>
      <c r="G16" s="25"/>
      <c r="H16" s="95">
        <v>0</v>
      </c>
      <c r="I16" s="25" t="s">
        <v>1793</v>
      </c>
      <c r="J16" s="95">
        <v>12000</v>
      </c>
      <c r="K16" s="25"/>
      <c r="L16" s="95"/>
      <c r="M16" s="25"/>
      <c r="N16" s="95"/>
      <c r="O16" s="99"/>
    </row>
    <row r="17" s="76" customFormat="1" ht="55" customHeight="1" spans="1:15">
      <c r="A17" s="19">
        <v>6</v>
      </c>
      <c r="B17" s="25" t="s">
        <v>1792</v>
      </c>
      <c r="C17" s="25" t="s">
        <v>1794</v>
      </c>
      <c r="D17" s="95">
        <f t="shared" si="0"/>
        <v>55000</v>
      </c>
      <c r="E17" s="25"/>
      <c r="F17" s="95">
        <v>0</v>
      </c>
      <c r="G17" s="25"/>
      <c r="H17" s="95">
        <v>0</v>
      </c>
      <c r="I17" s="25" t="s">
        <v>1795</v>
      </c>
      <c r="J17" s="95">
        <v>12500</v>
      </c>
      <c r="K17" s="25"/>
      <c r="L17" s="95"/>
      <c r="M17" s="25" t="s">
        <v>1796</v>
      </c>
      <c r="N17" s="95">
        <v>42500</v>
      </c>
      <c r="O17" s="99"/>
    </row>
    <row r="18" s="76" customFormat="1" ht="55" customHeight="1" spans="1:15">
      <c r="A18" s="19">
        <v>7</v>
      </c>
      <c r="B18" s="25" t="s">
        <v>1797</v>
      </c>
      <c r="C18" s="25" t="s">
        <v>1509</v>
      </c>
      <c r="D18" s="95">
        <f t="shared" si="0"/>
        <v>12000</v>
      </c>
      <c r="E18" s="25"/>
      <c r="F18" s="95">
        <v>0</v>
      </c>
      <c r="G18" s="25"/>
      <c r="H18" s="95">
        <v>0</v>
      </c>
      <c r="I18" s="25" t="s">
        <v>1798</v>
      </c>
      <c r="J18" s="95">
        <v>10000</v>
      </c>
      <c r="K18" s="25" t="s">
        <v>1799</v>
      </c>
      <c r="L18" s="95">
        <v>2000</v>
      </c>
      <c r="M18" s="25"/>
      <c r="N18" s="95"/>
      <c r="O18" s="99"/>
    </row>
    <row r="19" s="76" customFormat="1" ht="55" customHeight="1" spans="1:15">
      <c r="A19" s="19">
        <v>8</v>
      </c>
      <c r="B19" s="25" t="s">
        <v>1791</v>
      </c>
      <c r="C19" s="25" t="s">
        <v>1800</v>
      </c>
      <c r="D19" s="95">
        <f t="shared" si="0"/>
        <v>10000</v>
      </c>
      <c r="E19" s="25"/>
      <c r="F19" s="95">
        <v>0</v>
      </c>
      <c r="G19" s="25"/>
      <c r="H19" s="95">
        <v>0</v>
      </c>
      <c r="I19" s="25" t="s">
        <v>1795</v>
      </c>
      <c r="J19" s="95">
        <v>5000</v>
      </c>
      <c r="K19" s="25" t="s">
        <v>1801</v>
      </c>
      <c r="L19" s="95">
        <v>5000</v>
      </c>
      <c r="M19" s="25"/>
      <c r="N19" s="95"/>
      <c r="O19" s="99"/>
    </row>
    <row r="20" s="76" customFormat="1" ht="55" customHeight="1" spans="1:15">
      <c r="A20" s="19">
        <v>9</v>
      </c>
      <c r="B20" s="25" t="s">
        <v>1802</v>
      </c>
      <c r="C20" s="25" t="s">
        <v>1803</v>
      </c>
      <c r="D20" s="95">
        <f t="shared" si="0"/>
        <v>6000</v>
      </c>
      <c r="E20" s="25"/>
      <c r="F20" s="95"/>
      <c r="G20" s="25"/>
      <c r="H20" s="95"/>
      <c r="I20" s="25"/>
      <c r="J20" s="95"/>
      <c r="K20" s="25" t="s">
        <v>1801</v>
      </c>
      <c r="L20" s="95">
        <v>6000</v>
      </c>
      <c r="M20" s="25"/>
      <c r="N20" s="95"/>
      <c r="O20" s="99"/>
    </row>
    <row r="21" s="76" customFormat="1" ht="55" customHeight="1" spans="1:15">
      <c r="A21" s="19">
        <v>10</v>
      </c>
      <c r="B21" s="25" t="s">
        <v>1804</v>
      </c>
      <c r="C21" s="25" t="s">
        <v>1805</v>
      </c>
      <c r="D21" s="95">
        <f t="shared" si="0"/>
        <v>5000</v>
      </c>
      <c r="E21" s="25"/>
      <c r="F21" s="95"/>
      <c r="G21" s="25"/>
      <c r="H21" s="95"/>
      <c r="I21" s="25"/>
      <c r="J21" s="95"/>
      <c r="K21" s="25" t="s">
        <v>1801</v>
      </c>
      <c r="L21" s="95">
        <v>5000</v>
      </c>
      <c r="M21" s="25"/>
      <c r="N21" s="95"/>
      <c r="O21" s="99"/>
    </row>
    <row r="22" s="76" customFormat="1" ht="55" customHeight="1" spans="1:15">
      <c r="A22" s="19">
        <v>11</v>
      </c>
      <c r="B22" s="25" t="s">
        <v>1806</v>
      </c>
      <c r="C22" s="25" t="s">
        <v>1564</v>
      </c>
      <c r="D22" s="95">
        <f t="shared" si="0"/>
        <v>5000</v>
      </c>
      <c r="E22" s="25"/>
      <c r="F22" s="95"/>
      <c r="G22" s="25"/>
      <c r="H22" s="95"/>
      <c r="I22" s="25"/>
      <c r="J22" s="95"/>
      <c r="K22" s="25" t="s">
        <v>1801</v>
      </c>
      <c r="L22" s="95">
        <v>5000</v>
      </c>
      <c r="M22" s="25"/>
      <c r="N22" s="95"/>
      <c r="O22" s="99"/>
    </row>
  </sheetData>
  <mergeCells count="16">
    <mergeCell ref="A2:O2"/>
    <mergeCell ref="A3:B3"/>
    <mergeCell ref="E4:N4"/>
    <mergeCell ref="E5:F5"/>
    <mergeCell ref="G5:H5"/>
    <mergeCell ref="I5:J5"/>
    <mergeCell ref="K5:L5"/>
    <mergeCell ref="M5:N5"/>
    <mergeCell ref="A7:C7"/>
    <mergeCell ref="A8:C8"/>
    <mergeCell ref="A11:C11"/>
    <mergeCell ref="A4:A6"/>
    <mergeCell ref="B4:B6"/>
    <mergeCell ref="C4:C6"/>
    <mergeCell ref="D4:D6"/>
    <mergeCell ref="O4:O6"/>
  </mergeCells>
  <printOptions horizontalCentered="1"/>
  <pageMargins left="0.393055555555556" right="0.393055555555556" top="0.393055555555556" bottom="0.393055555555556" header="0.196527777777778" footer="0.196527777777778"/>
  <pageSetup paperSize="9" scale="46" fitToHeight="0"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8"/>
  <sheetViews>
    <sheetView topLeftCell="A19" workbookViewId="0">
      <selection activeCell="D15" sqref="D15"/>
    </sheetView>
  </sheetViews>
  <sheetFormatPr defaultColWidth="9" defaultRowHeight="14.25" outlineLevelCol="3"/>
  <cols>
    <col min="1" max="1" width="20.625" style="53" customWidth="1"/>
    <col min="2" max="2" width="50.625" style="53" customWidth="1"/>
    <col min="3" max="3" width="30.625" style="53" customWidth="1"/>
    <col min="4" max="4" width="30.625" style="54" customWidth="1"/>
    <col min="5" max="16384" width="9" style="54"/>
  </cols>
  <sheetData>
    <row r="1" ht="20" customHeight="1" spans="1:1">
      <c r="A1" s="55" t="s">
        <v>1807</v>
      </c>
    </row>
    <row r="2" s="52" customFormat="1" ht="30" customHeight="1" spans="1:4">
      <c r="A2" s="56" t="s">
        <v>1808</v>
      </c>
      <c r="B2" s="56"/>
      <c r="C2" s="56"/>
      <c r="D2" s="57"/>
    </row>
    <row r="3" s="52" customFormat="1" ht="20" customHeight="1" spans="1:4">
      <c r="A3" s="58"/>
      <c r="B3" s="58"/>
      <c r="C3" s="58"/>
      <c r="D3" s="59" t="s">
        <v>5</v>
      </c>
    </row>
    <row r="4" s="52" customFormat="1" ht="30" customHeight="1" spans="1:4">
      <c r="A4" s="60" t="s">
        <v>505</v>
      </c>
      <c r="B4" s="60" t="s">
        <v>506</v>
      </c>
      <c r="C4" s="61" t="s">
        <v>1771</v>
      </c>
      <c r="D4" s="62" t="s">
        <v>11</v>
      </c>
    </row>
    <row r="5" s="52" customFormat="1" ht="30" customHeight="1" spans="1:4">
      <c r="A5" s="63" t="s">
        <v>1809</v>
      </c>
      <c r="B5" s="63"/>
      <c r="C5" s="64">
        <f>SUM(C6:C13)</f>
        <v>25314.74</v>
      </c>
      <c r="D5" s="65"/>
    </row>
    <row r="6" s="52" customFormat="1" ht="30" customHeight="1" spans="1:4">
      <c r="A6" s="66" t="s">
        <v>1810</v>
      </c>
      <c r="B6" s="66" t="s">
        <v>1811</v>
      </c>
      <c r="C6" s="67">
        <v>1437.82</v>
      </c>
      <c r="D6" s="68"/>
    </row>
    <row r="7" ht="30" customHeight="1" spans="1:4">
      <c r="A7" s="66" t="s">
        <v>1810</v>
      </c>
      <c r="B7" s="66" t="s">
        <v>1812</v>
      </c>
      <c r="C7" s="67">
        <v>115.15</v>
      </c>
      <c r="D7" s="68"/>
    </row>
    <row r="8" ht="30" customHeight="1" spans="1:4">
      <c r="A8" s="66" t="s">
        <v>1813</v>
      </c>
      <c r="B8" s="66" t="s">
        <v>1814</v>
      </c>
      <c r="C8" s="67">
        <v>11077.7</v>
      </c>
      <c r="D8" s="68"/>
    </row>
    <row r="9" ht="30" customHeight="1" spans="1:4">
      <c r="A9" s="66" t="s">
        <v>1052</v>
      </c>
      <c r="B9" s="66" t="s">
        <v>1815</v>
      </c>
      <c r="C9" s="67">
        <v>49.5</v>
      </c>
      <c r="D9" s="68" t="s">
        <v>1816</v>
      </c>
    </row>
    <row r="10" ht="30" customHeight="1" spans="1:4">
      <c r="A10" s="66" t="s">
        <v>1114</v>
      </c>
      <c r="B10" s="66" t="s">
        <v>1817</v>
      </c>
      <c r="C10" s="67">
        <f>1700</f>
        <v>1700</v>
      </c>
      <c r="D10" s="68" t="s">
        <v>1816</v>
      </c>
    </row>
    <row r="11" ht="30" customHeight="1" spans="1:4">
      <c r="A11" s="66" t="s">
        <v>1114</v>
      </c>
      <c r="B11" s="66" t="s">
        <v>1818</v>
      </c>
      <c r="C11" s="67">
        <v>1.23</v>
      </c>
      <c r="D11" s="68"/>
    </row>
    <row r="12" ht="30" customHeight="1" spans="1:4">
      <c r="A12" s="66" t="s">
        <v>1114</v>
      </c>
      <c r="B12" s="66" t="s">
        <v>1819</v>
      </c>
      <c r="C12" s="67">
        <v>900</v>
      </c>
      <c r="D12" s="68" t="s">
        <v>1820</v>
      </c>
    </row>
    <row r="13" ht="30" customHeight="1" spans="1:4">
      <c r="A13" s="66" t="s">
        <v>1810</v>
      </c>
      <c r="B13" s="66" t="s">
        <v>1821</v>
      </c>
      <c r="C13" s="67">
        <v>10033.34</v>
      </c>
      <c r="D13" s="68" t="s">
        <v>1822</v>
      </c>
    </row>
    <row r="14" ht="30" customHeight="1" spans="1:4">
      <c r="A14" s="69" t="s">
        <v>1823</v>
      </c>
      <c r="B14" s="70"/>
      <c r="C14" s="64">
        <f>SUM(C15:C18)</f>
        <v>25314.5</v>
      </c>
      <c r="D14" s="71"/>
    </row>
    <row r="15" ht="30" customHeight="1" spans="1:4">
      <c r="A15" s="66" t="s">
        <v>1052</v>
      </c>
      <c r="B15" s="66" t="s">
        <v>1815</v>
      </c>
      <c r="C15" s="67">
        <v>49.5</v>
      </c>
      <c r="D15" s="68"/>
    </row>
    <row r="16" ht="30" customHeight="1" spans="1:4">
      <c r="A16" s="66" t="s">
        <v>1466</v>
      </c>
      <c r="B16" s="66" t="s">
        <v>1824</v>
      </c>
      <c r="C16" s="67">
        <v>5500</v>
      </c>
      <c r="D16" s="68" t="s">
        <v>1825</v>
      </c>
    </row>
    <row r="17" ht="30" customHeight="1" spans="1:4">
      <c r="A17" s="66" t="s">
        <v>1810</v>
      </c>
      <c r="B17" s="66" t="s">
        <v>1826</v>
      </c>
      <c r="C17" s="67">
        <v>9621</v>
      </c>
      <c r="D17" s="68" t="s">
        <v>1827</v>
      </c>
    </row>
    <row r="18" ht="30" customHeight="1" spans="1:4">
      <c r="A18" s="66" t="s">
        <v>1810</v>
      </c>
      <c r="B18" s="66" t="s">
        <v>1828</v>
      </c>
      <c r="C18" s="67">
        <v>10144</v>
      </c>
      <c r="D18" s="68" t="s">
        <v>1829</v>
      </c>
    </row>
  </sheetData>
  <mergeCells count="3">
    <mergeCell ref="A2:D2"/>
    <mergeCell ref="A5:B5"/>
    <mergeCell ref="A14:B14"/>
  </mergeCells>
  <printOptions horizontalCentered="1"/>
  <pageMargins left="0.786805555555556" right="0.786805555555556" top="0.393055555555556" bottom="0.393055555555556" header="0.196527777777778" footer="0.196527777777778"/>
  <pageSetup paperSize="9" scale="91" orientation="landscape" horizontalDpi="600"/>
  <headerFooter alignWithMargins="0" scaleWithDoc="0">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1"/>
  <sheetViews>
    <sheetView topLeftCell="A149" workbookViewId="0">
      <selection activeCell="D3" sqref="D3"/>
    </sheetView>
  </sheetViews>
  <sheetFormatPr defaultColWidth="9" defaultRowHeight="30" customHeight="1" outlineLevelCol="6"/>
  <cols>
    <col min="1" max="1" width="10.625" style="3" customWidth="1"/>
    <col min="2" max="2" width="10.625" style="3" hidden="1" customWidth="1"/>
    <col min="3" max="3" width="25.625" style="3" customWidth="1"/>
    <col min="4" max="4" width="55.625" style="3" customWidth="1"/>
    <col min="5" max="6" width="15.625" style="29" customWidth="1"/>
    <col min="7" max="7" width="50.625" style="3" customWidth="1"/>
    <col min="8" max="16384" width="9" style="3"/>
  </cols>
  <sheetData>
    <row r="1" ht="20" customHeight="1" spans="1:1">
      <c r="A1" s="30" t="s">
        <v>1830</v>
      </c>
    </row>
    <row r="2" customHeight="1" spans="1:7">
      <c r="A2" s="31" t="s">
        <v>1831</v>
      </c>
      <c r="B2" s="31"/>
      <c r="C2" s="31"/>
      <c r="D2" s="31"/>
      <c r="E2" s="32"/>
      <c r="F2" s="32"/>
      <c r="G2" s="31"/>
    </row>
    <row r="3" ht="20" customHeight="1" spans="2:7">
      <c r="B3" s="33"/>
      <c r="C3" s="33"/>
      <c r="D3" s="33"/>
      <c r="E3" s="34"/>
      <c r="F3" s="35"/>
      <c r="G3" s="36" t="s">
        <v>5</v>
      </c>
    </row>
    <row r="4" s="27" customFormat="1" customHeight="1" spans="1:7">
      <c r="A4" s="37" t="s">
        <v>503</v>
      </c>
      <c r="B4" s="38" t="s">
        <v>1832</v>
      </c>
      <c r="C4" s="38" t="s">
        <v>1833</v>
      </c>
      <c r="D4" s="38" t="s">
        <v>1834</v>
      </c>
      <c r="E4" s="39" t="s">
        <v>1835</v>
      </c>
      <c r="F4" s="39" t="s">
        <v>1836</v>
      </c>
      <c r="G4" s="40" t="s">
        <v>11</v>
      </c>
    </row>
    <row r="5" s="3" customFormat="1" customHeight="1" spans="1:7">
      <c r="A5" s="41" t="s">
        <v>67</v>
      </c>
      <c r="B5" s="41"/>
      <c r="C5" s="41"/>
      <c r="D5" s="41"/>
      <c r="E5" s="15">
        <v>10033.340731</v>
      </c>
      <c r="F5" s="15">
        <v>9620.872346</v>
      </c>
      <c r="G5" s="42"/>
    </row>
    <row r="6" s="3" customFormat="1" customHeight="1" spans="1:7">
      <c r="A6" s="19">
        <f t="shared" ref="A6:A69" si="0">ROW()-5</f>
        <v>1</v>
      </c>
      <c r="B6" s="43" t="s">
        <v>516</v>
      </c>
      <c r="C6" s="43" t="s">
        <v>517</v>
      </c>
      <c r="D6" s="44" t="s">
        <v>529</v>
      </c>
      <c r="E6" s="45">
        <v>6.24</v>
      </c>
      <c r="F6" s="45"/>
      <c r="G6" s="46"/>
    </row>
    <row r="7" s="3" customFormat="1" customHeight="1" spans="1:7">
      <c r="A7" s="19">
        <f t="shared" si="0"/>
        <v>2</v>
      </c>
      <c r="B7" s="43" t="s">
        <v>516</v>
      </c>
      <c r="C7" s="43" t="s">
        <v>517</v>
      </c>
      <c r="D7" s="44" t="s">
        <v>1837</v>
      </c>
      <c r="E7" s="45">
        <v>4.68</v>
      </c>
      <c r="F7" s="45"/>
      <c r="G7" s="46"/>
    </row>
    <row r="8" s="3" customFormat="1" customHeight="1" spans="1:7">
      <c r="A8" s="19">
        <f t="shared" si="0"/>
        <v>3</v>
      </c>
      <c r="B8" s="43" t="s">
        <v>516</v>
      </c>
      <c r="C8" s="43" t="s">
        <v>517</v>
      </c>
      <c r="D8" s="44" t="s">
        <v>1838</v>
      </c>
      <c r="E8" s="45">
        <v>9.9871</v>
      </c>
      <c r="F8" s="45">
        <v>9.9871</v>
      </c>
      <c r="G8" s="46" t="s">
        <v>1839</v>
      </c>
    </row>
    <row r="9" s="3" customFormat="1" customHeight="1" spans="1:7">
      <c r="A9" s="19">
        <f t="shared" si="0"/>
        <v>4</v>
      </c>
      <c r="B9" s="43" t="s">
        <v>516</v>
      </c>
      <c r="C9" s="43" t="s">
        <v>517</v>
      </c>
      <c r="D9" s="44" t="s">
        <v>1840</v>
      </c>
      <c r="E9" s="45">
        <v>186.445943</v>
      </c>
      <c r="F9" s="45">
        <v>186.445943</v>
      </c>
      <c r="G9" s="46" t="s">
        <v>1841</v>
      </c>
    </row>
    <row r="10" s="3" customFormat="1" customHeight="1" spans="1:7">
      <c r="A10" s="19">
        <f t="shared" si="0"/>
        <v>5</v>
      </c>
      <c r="B10" s="43" t="s">
        <v>540</v>
      </c>
      <c r="C10" s="43" t="s">
        <v>543</v>
      </c>
      <c r="D10" s="44" t="s">
        <v>1842</v>
      </c>
      <c r="E10" s="45">
        <v>3</v>
      </c>
      <c r="F10" s="45">
        <v>3</v>
      </c>
      <c r="G10" s="46"/>
    </row>
    <row r="11" s="3" customFormat="1" customHeight="1" spans="1:7">
      <c r="A11" s="19">
        <f t="shared" si="0"/>
        <v>6</v>
      </c>
      <c r="B11" s="43" t="s">
        <v>540</v>
      </c>
      <c r="C11" s="43" t="s">
        <v>543</v>
      </c>
      <c r="D11" s="44" t="s">
        <v>1139</v>
      </c>
      <c r="E11" s="45">
        <v>5</v>
      </c>
      <c r="F11" s="45">
        <v>5</v>
      </c>
      <c r="G11" s="46"/>
    </row>
    <row r="12" s="3" customFormat="1" customHeight="1" spans="1:7">
      <c r="A12" s="19">
        <f t="shared" si="0"/>
        <v>7</v>
      </c>
      <c r="B12" s="43" t="s">
        <v>516</v>
      </c>
      <c r="C12" s="43" t="s">
        <v>541</v>
      </c>
      <c r="D12" s="44" t="s">
        <v>1843</v>
      </c>
      <c r="E12" s="45">
        <v>77.7995</v>
      </c>
      <c r="F12" s="45">
        <v>77.7995</v>
      </c>
      <c r="G12" s="46"/>
    </row>
    <row r="13" s="3" customFormat="1" customHeight="1" spans="1:7">
      <c r="A13" s="19">
        <f t="shared" si="0"/>
        <v>8</v>
      </c>
      <c r="B13" s="43" t="s">
        <v>516</v>
      </c>
      <c r="C13" s="43" t="s">
        <v>541</v>
      </c>
      <c r="D13" s="44" t="s">
        <v>530</v>
      </c>
      <c r="E13" s="45">
        <v>23</v>
      </c>
      <c r="F13" s="45">
        <v>23</v>
      </c>
      <c r="G13" s="46"/>
    </row>
    <row r="14" s="3" customFormat="1" customHeight="1" spans="1:7">
      <c r="A14" s="19">
        <f t="shared" si="0"/>
        <v>9</v>
      </c>
      <c r="B14" s="43" t="s">
        <v>516</v>
      </c>
      <c r="C14" s="43" t="s">
        <v>541</v>
      </c>
      <c r="D14" s="44" t="s">
        <v>1844</v>
      </c>
      <c r="E14" s="45">
        <v>35</v>
      </c>
      <c r="F14" s="45">
        <v>35</v>
      </c>
      <c r="G14" s="46"/>
    </row>
    <row r="15" s="3" customFormat="1" customHeight="1" spans="1:7">
      <c r="A15" s="19">
        <f t="shared" si="0"/>
        <v>10</v>
      </c>
      <c r="B15" s="43" t="s">
        <v>540</v>
      </c>
      <c r="C15" s="43" t="s">
        <v>541</v>
      </c>
      <c r="D15" s="44" t="s">
        <v>1139</v>
      </c>
      <c r="E15" s="45">
        <v>3</v>
      </c>
      <c r="F15" s="45">
        <v>3</v>
      </c>
      <c r="G15" s="46"/>
    </row>
    <row r="16" s="3" customFormat="1" customHeight="1" spans="1:7">
      <c r="A16" s="19">
        <f t="shared" si="0"/>
        <v>11</v>
      </c>
      <c r="B16" s="43" t="s">
        <v>540</v>
      </c>
      <c r="C16" s="43" t="s">
        <v>541</v>
      </c>
      <c r="D16" s="44" t="s">
        <v>1845</v>
      </c>
      <c r="E16" s="45">
        <v>138.527191</v>
      </c>
      <c r="F16" s="45">
        <v>138.527191</v>
      </c>
      <c r="G16" s="21"/>
    </row>
    <row r="17" s="3" customFormat="1" customHeight="1" spans="1:7">
      <c r="A17" s="19">
        <f t="shared" si="0"/>
        <v>12</v>
      </c>
      <c r="B17" s="43" t="s">
        <v>516</v>
      </c>
      <c r="C17" s="43" t="s">
        <v>1588</v>
      </c>
      <c r="D17" s="44" t="s">
        <v>1846</v>
      </c>
      <c r="E17" s="45">
        <v>10</v>
      </c>
      <c r="F17" s="45">
        <v>10</v>
      </c>
      <c r="G17" s="46"/>
    </row>
    <row r="18" s="3" customFormat="1" customHeight="1" spans="1:7">
      <c r="A18" s="19">
        <f t="shared" si="0"/>
        <v>13</v>
      </c>
      <c r="B18" s="43" t="s">
        <v>540</v>
      </c>
      <c r="C18" s="43" t="s">
        <v>1588</v>
      </c>
      <c r="D18" s="44" t="s">
        <v>1139</v>
      </c>
      <c r="E18" s="45">
        <v>3</v>
      </c>
      <c r="F18" s="45">
        <v>3</v>
      </c>
      <c r="G18" s="46"/>
    </row>
    <row r="19" s="3" customFormat="1" customHeight="1" spans="1:7">
      <c r="A19" s="19">
        <f t="shared" si="0"/>
        <v>14</v>
      </c>
      <c r="B19" s="43" t="s">
        <v>563</v>
      </c>
      <c r="C19" s="43" t="s">
        <v>612</v>
      </c>
      <c r="D19" s="44" t="s">
        <v>625</v>
      </c>
      <c r="E19" s="45">
        <v>5.62825</v>
      </c>
      <c r="F19" s="45"/>
      <c r="G19" s="46"/>
    </row>
    <row r="20" s="3" customFormat="1" customHeight="1" spans="1:7">
      <c r="A20" s="19">
        <f t="shared" si="0"/>
        <v>15</v>
      </c>
      <c r="B20" s="43" t="s">
        <v>563</v>
      </c>
      <c r="C20" s="43" t="s">
        <v>612</v>
      </c>
      <c r="D20" s="44" t="s">
        <v>621</v>
      </c>
      <c r="E20" s="45">
        <v>5</v>
      </c>
      <c r="F20" s="45"/>
      <c r="G20" s="46"/>
    </row>
    <row r="21" s="3" customFormat="1" customHeight="1" spans="1:7">
      <c r="A21" s="19">
        <f t="shared" si="0"/>
        <v>16</v>
      </c>
      <c r="B21" s="43" t="s">
        <v>563</v>
      </c>
      <c r="C21" s="43" t="s">
        <v>612</v>
      </c>
      <c r="D21" s="44" t="s">
        <v>626</v>
      </c>
      <c r="E21" s="45">
        <v>0.382100000000001</v>
      </c>
      <c r="F21" s="45"/>
      <c r="G21" s="46"/>
    </row>
    <row r="22" s="3" customFormat="1" customHeight="1" spans="1:7">
      <c r="A22" s="19">
        <f t="shared" si="0"/>
        <v>17</v>
      </c>
      <c r="B22" s="43" t="s">
        <v>563</v>
      </c>
      <c r="C22" s="43" t="s">
        <v>612</v>
      </c>
      <c r="D22" s="44" t="s">
        <v>1847</v>
      </c>
      <c r="E22" s="45">
        <v>0.0509</v>
      </c>
      <c r="F22" s="45"/>
      <c r="G22" s="46"/>
    </row>
    <row r="23" s="3" customFormat="1" customHeight="1" spans="1:7">
      <c r="A23" s="19">
        <f t="shared" si="0"/>
        <v>18</v>
      </c>
      <c r="B23" s="43" t="s">
        <v>563</v>
      </c>
      <c r="C23" s="43" t="s">
        <v>612</v>
      </c>
      <c r="D23" s="44" t="s">
        <v>1848</v>
      </c>
      <c r="E23" s="45">
        <v>3.648</v>
      </c>
      <c r="F23" s="45"/>
      <c r="G23" s="46"/>
    </row>
    <row r="24" s="3" customFormat="1" customHeight="1" spans="1:7">
      <c r="A24" s="19">
        <f t="shared" si="0"/>
        <v>19</v>
      </c>
      <c r="B24" s="43" t="s">
        <v>563</v>
      </c>
      <c r="C24" s="43" t="s">
        <v>612</v>
      </c>
      <c r="D24" s="44" t="s">
        <v>1849</v>
      </c>
      <c r="E24" s="45">
        <v>1.515</v>
      </c>
      <c r="F24" s="45"/>
      <c r="G24" s="46"/>
    </row>
    <row r="25" s="3" customFormat="1" customHeight="1" spans="1:7">
      <c r="A25" s="19">
        <f t="shared" si="0"/>
        <v>20</v>
      </c>
      <c r="B25" s="43" t="s">
        <v>563</v>
      </c>
      <c r="C25" s="43" t="s">
        <v>612</v>
      </c>
      <c r="D25" s="44" t="s">
        <v>639</v>
      </c>
      <c r="E25" s="45">
        <v>1.476075</v>
      </c>
      <c r="F25" s="45"/>
      <c r="G25" s="46"/>
    </row>
    <row r="26" s="3" customFormat="1" customHeight="1" spans="1:7">
      <c r="A26" s="19">
        <f t="shared" si="0"/>
        <v>21</v>
      </c>
      <c r="B26" s="43" t="s">
        <v>563</v>
      </c>
      <c r="C26" s="43" t="s">
        <v>1030</v>
      </c>
      <c r="D26" s="44" t="s">
        <v>116</v>
      </c>
      <c r="E26" s="45">
        <v>0.0831999999999997</v>
      </c>
      <c r="F26" s="45"/>
      <c r="G26" s="46"/>
    </row>
    <row r="27" s="3" customFormat="1" customHeight="1" spans="1:7">
      <c r="A27" s="19">
        <f t="shared" si="0"/>
        <v>22</v>
      </c>
      <c r="B27" s="43" t="s">
        <v>563</v>
      </c>
      <c r="C27" s="43" t="s">
        <v>751</v>
      </c>
      <c r="D27" s="44" t="s">
        <v>754</v>
      </c>
      <c r="E27" s="45">
        <v>2.96</v>
      </c>
      <c r="F27" s="45"/>
      <c r="G27" s="46"/>
    </row>
    <row r="28" s="3" customFormat="1" customHeight="1" spans="1:7">
      <c r="A28" s="19">
        <f t="shared" si="0"/>
        <v>23</v>
      </c>
      <c r="B28" s="43" t="s">
        <v>563</v>
      </c>
      <c r="C28" s="43" t="s">
        <v>733</v>
      </c>
      <c r="D28" s="44" t="s">
        <v>1850</v>
      </c>
      <c r="E28" s="45">
        <v>0.504</v>
      </c>
      <c r="F28" s="45">
        <v>0.504</v>
      </c>
      <c r="G28" s="46"/>
    </row>
    <row r="29" s="3" customFormat="1" customHeight="1" spans="1:7">
      <c r="A29" s="19">
        <f t="shared" si="0"/>
        <v>24</v>
      </c>
      <c r="B29" s="43" t="s">
        <v>563</v>
      </c>
      <c r="C29" s="43" t="s">
        <v>758</v>
      </c>
      <c r="D29" s="44" t="s">
        <v>764</v>
      </c>
      <c r="E29" s="45">
        <v>0.0219999999999985</v>
      </c>
      <c r="F29" s="45"/>
      <c r="G29" s="46"/>
    </row>
    <row r="30" s="3" customFormat="1" customHeight="1" spans="1:7">
      <c r="A30" s="19">
        <f t="shared" si="0"/>
        <v>25</v>
      </c>
      <c r="B30" s="43" t="s">
        <v>563</v>
      </c>
      <c r="C30" s="43" t="s">
        <v>758</v>
      </c>
      <c r="D30" s="44" t="s">
        <v>1851</v>
      </c>
      <c r="E30" s="45">
        <v>2</v>
      </c>
      <c r="F30" s="45">
        <v>2</v>
      </c>
      <c r="G30" s="46"/>
    </row>
    <row r="31" s="3" customFormat="1" customHeight="1" spans="1:7">
      <c r="A31" s="19">
        <f t="shared" si="0"/>
        <v>26</v>
      </c>
      <c r="B31" s="43" t="s">
        <v>563</v>
      </c>
      <c r="C31" s="43" t="s">
        <v>758</v>
      </c>
      <c r="D31" s="44" t="s">
        <v>1852</v>
      </c>
      <c r="E31" s="45">
        <v>7.811</v>
      </c>
      <c r="F31" s="45">
        <v>7.811</v>
      </c>
      <c r="G31" s="46"/>
    </row>
    <row r="32" s="3" customFormat="1" customHeight="1" spans="1:7">
      <c r="A32" s="19">
        <f t="shared" si="0"/>
        <v>27</v>
      </c>
      <c r="B32" s="43" t="s">
        <v>563</v>
      </c>
      <c r="C32" s="43" t="s">
        <v>758</v>
      </c>
      <c r="D32" s="44" t="s">
        <v>1853</v>
      </c>
      <c r="E32" s="45">
        <v>2</v>
      </c>
      <c r="F32" s="45">
        <v>2</v>
      </c>
      <c r="G32" s="46"/>
    </row>
    <row r="33" s="3" customFormat="1" customHeight="1" spans="1:7">
      <c r="A33" s="19">
        <f t="shared" si="0"/>
        <v>28</v>
      </c>
      <c r="B33" s="43" t="s">
        <v>563</v>
      </c>
      <c r="C33" s="43" t="s">
        <v>758</v>
      </c>
      <c r="D33" s="44" t="s">
        <v>1854</v>
      </c>
      <c r="E33" s="45">
        <v>11.3451</v>
      </c>
      <c r="F33" s="45">
        <v>11.3451</v>
      </c>
      <c r="G33" s="46"/>
    </row>
    <row r="34" s="3" customFormat="1" customHeight="1" spans="1:7">
      <c r="A34" s="19">
        <f t="shared" si="0"/>
        <v>29</v>
      </c>
      <c r="B34" s="43" t="s">
        <v>563</v>
      </c>
      <c r="C34" s="43" t="s">
        <v>564</v>
      </c>
      <c r="D34" s="44" t="s">
        <v>1855</v>
      </c>
      <c r="E34" s="45">
        <v>0.067421</v>
      </c>
      <c r="F34" s="45"/>
      <c r="G34" s="46"/>
    </row>
    <row r="35" s="3" customFormat="1" customHeight="1" spans="1:7">
      <c r="A35" s="19">
        <f t="shared" si="0"/>
        <v>30</v>
      </c>
      <c r="B35" s="43" t="s">
        <v>563</v>
      </c>
      <c r="C35" s="43" t="s">
        <v>976</v>
      </c>
      <c r="D35" s="44" t="s">
        <v>1856</v>
      </c>
      <c r="E35" s="47">
        <v>11.5576</v>
      </c>
      <c r="F35" s="47">
        <v>11.5576</v>
      </c>
      <c r="G35" s="48"/>
    </row>
    <row r="36" s="3" customFormat="1" customHeight="1" spans="1:7">
      <c r="A36" s="19">
        <f t="shared" si="0"/>
        <v>31</v>
      </c>
      <c r="B36" s="43" t="s">
        <v>563</v>
      </c>
      <c r="C36" s="43" t="s">
        <v>976</v>
      </c>
      <c r="D36" s="44" t="s">
        <v>1857</v>
      </c>
      <c r="E36" s="47">
        <v>4.074</v>
      </c>
      <c r="F36" s="47">
        <v>4.074</v>
      </c>
      <c r="G36" s="48"/>
    </row>
    <row r="37" s="3" customFormat="1" customHeight="1" spans="1:7">
      <c r="A37" s="19">
        <f t="shared" si="0"/>
        <v>32</v>
      </c>
      <c r="B37" s="43" t="s">
        <v>563</v>
      </c>
      <c r="C37" s="43" t="s">
        <v>976</v>
      </c>
      <c r="D37" s="44" t="s">
        <v>1858</v>
      </c>
      <c r="E37" s="45">
        <v>0.24</v>
      </c>
      <c r="F37" s="45">
        <v>0.24</v>
      </c>
      <c r="G37" s="46"/>
    </row>
    <row r="38" s="3" customFormat="1" customHeight="1" spans="1:7">
      <c r="A38" s="19">
        <f t="shared" si="0"/>
        <v>33</v>
      </c>
      <c r="B38" s="43" t="s">
        <v>563</v>
      </c>
      <c r="C38" s="43" t="s">
        <v>976</v>
      </c>
      <c r="D38" s="44" t="s">
        <v>1859</v>
      </c>
      <c r="E38" s="45">
        <v>16.24</v>
      </c>
      <c r="F38" s="45">
        <v>16.24</v>
      </c>
      <c r="G38" s="46"/>
    </row>
    <row r="39" s="3" customFormat="1" customHeight="1" spans="1:7">
      <c r="A39" s="19">
        <f t="shared" si="0"/>
        <v>34</v>
      </c>
      <c r="B39" s="43" t="s">
        <v>563</v>
      </c>
      <c r="C39" s="43" t="s">
        <v>976</v>
      </c>
      <c r="D39" s="49" t="s">
        <v>1860</v>
      </c>
      <c r="E39" s="47">
        <v>19.74363</v>
      </c>
      <c r="F39" s="47">
        <v>19.74363</v>
      </c>
      <c r="G39" s="46"/>
    </row>
    <row r="40" s="3" customFormat="1" customHeight="1" spans="1:7">
      <c r="A40" s="19">
        <f t="shared" si="0"/>
        <v>35</v>
      </c>
      <c r="B40" s="43" t="s">
        <v>563</v>
      </c>
      <c r="C40" s="43" t="s">
        <v>976</v>
      </c>
      <c r="D40" s="49" t="s">
        <v>1861</v>
      </c>
      <c r="E40" s="47">
        <v>5</v>
      </c>
      <c r="F40" s="47">
        <v>5</v>
      </c>
      <c r="G40" s="46"/>
    </row>
    <row r="41" s="3" customFormat="1" customHeight="1" spans="1:7">
      <c r="A41" s="19">
        <f t="shared" si="0"/>
        <v>36</v>
      </c>
      <c r="B41" s="43" t="s">
        <v>563</v>
      </c>
      <c r="C41" s="43" t="s">
        <v>976</v>
      </c>
      <c r="D41" s="49" t="s">
        <v>983</v>
      </c>
      <c r="E41" s="47">
        <v>0.06</v>
      </c>
      <c r="F41" s="47"/>
      <c r="G41" s="46"/>
    </row>
    <row r="42" s="3" customFormat="1" customHeight="1" spans="1:7">
      <c r="A42" s="19">
        <f t="shared" si="0"/>
        <v>37</v>
      </c>
      <c r="B42" s="43" t="s">
        <v>563</v>
      </c>
      <c r="C42" s="43" t="s">
        <v>976</v>
      </c>
      <c r="D42" s="49" t="s">
        <v>1856</v>
      </c>
      <c r="E42" s="47">
        <v>26.834327</v>
      </c>
      <c r="F42" s="47">
        <v>26.834327</v>
      </c>
      <c r="G42" s="46"/>
    </row>
    <row r="43" s="3" customFormat="1" customHeight="1" spans="1:7">
      <c r="A43" s="19">
        <f t="shared" si="0"/>
        <v>38</v>
      </c>
      <c r="B43" s="43" t="s">
        <v>563</v>
      </c>
      <c r="C43" s="43" t="s">
        <v>976</v>
      </c>
      <c r="D43" s="49" t="s">
        <v>986</v>
      </c>
      <c r="E43" s="47">
        <v>4.405</v>
      </c>
      <c r="F43" s="47">
        <v>4.405</v>
      </c>
      <c r="G43" s="46"/>
    </row>
    <row r="44" s="3" customFormat="1" customHeight="1" spans="1:7">
      <c r="A44" s="19">
        <f t="shared" si="0"/>
        <v>39</v>
      </c>
      <c r="B44" s="43" t="s">
        <v>563</v>
      </c>
      <c r="C44" s="43" t="s">
        <v>976</v>
      </c>
      <c r="D44" s="44" t="s">
        <v>1862</v>
      </c>
      <c r="E44" s="45">
        <v>0.22</v>
      </c>
      <c r="F44" s="45">
        <v>0.22</v>
      </c>
      <c r="G44" s="46"/>
    </row>
    <row r="45" s="3" customFormat="1" customHeight="1" spans="1:7">
      <c r="A45" s="19">
        <f t="shared" si="0"/>
        <v>40</v>
      </c>
      <c r="B45" s="43" t="s">
        <v>563</v>
      </c>
      <c r="C45" s="43" t="s">
        <v>976</v>
      </c>
      <c r="D45" s="44" t="s">
        <v>1863</v>
      </c>
      <c r="E45" s="45">
        <v>0.075</v>
      </c>
      <c r="F45" s="45"/>
      <c r="G45" s="46"/>
    </row>
    <row r="46" s="3" customFormat="1" customHeight="1" spans="1:7">
      <c r="A46" s="19">
        <f t="shared" si="0"/>
        <v>41</v>
      </c>
      <c r="B46" s="43" t="s">
        <v>563</v>
      </c>
      <c r="C46" s="43" t="s">
        <v>976</v>
      </c>
      <c r="D46" s="44" t="s">
        <v>1864</v>
      </c>
      <c r="E46" s="45">
        <v>3</v>
      </c>
      <c r="F46" s="45">
        <v>3</v>
      </c>
      <c r="G46" s="46"/>
    </row>
    <row r="47" s="3" customFormat="1" customHeight="1" spans="1:7">
      <c r="A47" s="19">
        <f t="shared" si="0"/>
        <v>42</v>
      </c>
      <c r="B47" s="43" t="s">
        <v>563</v>
      </c>
      <c r="C47" s="43" t="s">
        <v>976</v>
      </c>
      <c r="D47" s="44" t="s">
        <v>1865</v>
      </c>
      <c r="E47" s="45">
        <v>5.9</v>
      </c>
      <c r="F47" s="45">
        <v>5.9</v>
      </c>
      <c r="G47" s="46"/>
    </row>
    <row r="48" s="28" customFormat="1" customHeight="1" spans="1:7">
      <c r="A48" s="19">
        <f t="shared" si="0"/>
        <v>43</v>
      </c>
      <c r="B48" s="50" t="s">
        <v>563</v>
      </c>
      <c r="C48" s="50" t="s">
        <v>976</v>
      </c>
      <c r="D48" s="49" t="s">
        <v>1866</v>
      </c>
      <c r="E48" s="47">
        <v>6.5625</v>
      </c>
      <c r="F48" s="47">
        <v>6.5625</v>
      </c>
      <c r="G48" s="48"/>
    </row>
    <row r="49" s="3" customFormat="1" customHeight="1" spans="1:7">
      <c r="A49" s="19">
        <f t="shared" si="0"/>
        <v>44</v>
      </c>
      <c r="B49" s="43" t="s">
        <v>563</v>
      </c>
      <c r="C49" s="43" t="s">
        <v>976</v>
      </c>
      <c r="D49" s="44" t="s">
        <v>1867</v>
      </c>
      <c r="E49" s="45">
        <v>1.615195</v>
      </c>
      <c r="F49" s="45"/>
      <c r="G49" s="46"/>
    </row>
    <row r="50" s="3" customFormat="1" customHeight="1" spans="1:7">
      <c r="A50" s="19">
        <f t="shared" si="0"/>
        <v>45</v>
      </c>
      <c r="B50" s="43" t="s">
        <v>563</v>
      </c>
      <c r="C50" s="43" t="s">
        <v>976</v>
      </c>
      <c r="D50" s="44" t="s">
        <v>1868</v>
      </c>
      <c r="E50" s="45">
        <v>41.782</v>
      </c>
      <c r="F50" s="45">
        <v>41.782</v>
      </c>
      <c r="G50" s="46"/>
    </row>
    <row r="51" s="3" customFormat="1" customHeight="1" spans="1:7">
      <c r="A51" s="19">
        <f t="shared" si="0"/>
        <v>46</v>
      </c>
      <c r="B51" s="43" t="s">
        <v>563</v>
      </c>
      <c r="C51" s="43" t="s">
        <v>976</v>
      </c>
      <c r="D51" s="44" t="s">
        <v>1869</v>
      </c>
      <c r="E51" s="45">
        <v>0.243375</v>
      </c>
      <c r="F51" s="45">
        <v>0.243375</v>
      </c>
      <c r="G51" s="46"/>
    </row>
    <row r="52" s="3" customFormat="1" customHeight="1" spans="1:7">
      <c r="A52" s="19">
        <f t="shared" si="0"/>
        <v>47</v>
      </c>
      <c r="B52" s="43" t="s">
        <v>563</v>
      </c>
      <c r="C52" s="43" t="s">
        <v>976</v>
      </c>
      <c r="D52" s="44" t="s">
        <v>1870</v>
      </c>
      <c r="E52" s="45">
        <v>0.022</v>
      </c>
      <c r="F52" s="45">
        <v>0.022</v>
      </c>
      <c r="G52" s="46"/>
    </row>
    <row r="53" s="3" customFormat="1" customHeight="1" spans="1:7">
      <c r="A53" s="19">
        <f t="shared" si="0"/>
        <v>48</v>
      </c>
      <c r="B53" s="43" t="s">
        <v>611</v>
      </c>
      <c r="C53" s="43" t="s">
        <v>976</v>
      </c>
      <c r="D53" s="44" t="s">
        <v>1871</v>
      </c>
      <c r="E53" s="45">
        <v>20</v>
      </c>
      <c r="F53" s="45">
        <v>20</v>
      </c>
      <c r="G53" s="46"/>
    </row>
    <row r="54" s="3" customFormat="1" customHeight="1" spans="1:7">
      <c r="A54" s="19">
        <f t="shared" si="0"/>
        <v>49</v>
      </c>
      <c r="B54" s="43" t="s">
        <v>611</v>
      </c>
      <c r="C54" s="43" t="s">
        <v>976</v>
      </c>
      <c r="D54" s="44" t="s">
        <v>1872</v>
      </c>
      <c r="E54" s="45">
        <v>86</v>
      </c>
      <c r="F54" s="45">
        <v>86</v>
      </c>
      <c r="G54" s="46"/>
    </row>
    <row r="55" s="3" customFormat="1" customHeight="1" spans="1:7">
      <c r="A55" s="19">
        <f t="shared" si="0"/>
        <v>50</v>
      </c>
      <c r="B55" s="43" t="s">
        <v>611</v>
      </c>
      <c r="C55" s="43" t="s">
        <v>976</v>
      </c>
      <c r="D55" s="44" t="s">
        <v>1873</v>
      </c>
      <c r="E55" s="45">
        <v>45</v>
      </c>
      <c r="F55" s="45">
        <v>45</v>
      </c>
      <c r="G55" s="46"/>
    </row>
    <row r="56" s="3" customFormat="1" customHeight="1" spans="1:7">
      <c r="A56" s="19">
        <f t="shared" si="0"/>
        <v>51</v>
      </c>
      <c r="B56" s="43" t="s">
        <v>563</v>
      </c>
      <c r="C56" s="43" t="s">
        <v>1874</v>
      </c>
      <c r="D56" s="44" t="s">
        <v>1858</v>
      </c>
      <c r="E56" s="45">
        <v>0.48</v>
      </c>
      <c r="F56" s="45">
        <v>0.48</v>
      </c>
      <c r="G56" s="46"/>
    </row>
    <row r="57" s="3" customFormat="1" customHeight="1" spans="1:7">
      <c r="A57" s="19">
        <f t="shared" si="0"/>
        <v>52</v>
      </c>
      <c r="B57" s="43" t="s">
        <v>563</v>
      </c>
      <c r="C57" s="43" t="s">
        <v>1874</v>
      </c>
      <c r="D57" s="44" t="s">
        <v>1875</v>
      </c>
      <c r="E57" s="45">
        <v>10.925</v>
      </c>
      <c r="F57" s="45">
        <v>10.925</v>
      </c>
      <c r="G57" s="46"/>
    </row>
    <row r="58" s="3" customFormat="1" customHeight="1" spans="1:7">
      <c r="A58" s="19">
        <f t="shared" si="0"/>
        <v>53</v>
      </c>
      <c r="B58" s="43" t="s">
        <v>563</v>
      </c>
      <c r="C58" s="43" t="s">
        <v>1874</v>
      </c>
      <c r="D58" s="44" t="s">
        <v>1876</v>
      </c>
      <c r="E58" s="45">
        <v>0.24</v>
      </c>
      <c r="F58" s="45"/>
      <c r="G58" s="46"/>
    </row>
    <row r="59" s="3" customFormat="1" customHeight="1" spans="1:7">
      <c r="A59" s="19">
        <f t="shared" si="0"/>
        <v>54</v>
      </c>
      <c r="B59" s="43" t="s">
        <v>563</v>
      </c>
      <c r="C59" s="43" t="s">
        <v>1874</v>
      </c>
      <c r="D59" s="44" t="s">
        <v>1857</v>
      </c>
      <c r="E59" s="45">
        <v>1.44</v>
      </c>
      <c r="F59" s="45">
        <v>1.44</v>
      </c>
      <c r="G59" s="46"/>
    </row>
    <row r="60" s="3" customFormat="1" customHeight="1" spans="1:7">
      <c r="A60" s="19">
        <f t="shared" si="0"/>
        <v>55</v>
      </c>
      <c r="B60" s="43" t="s">
        <v>563</v>
      </c>
      <c r="C60" s="43" t="s">
        <v>1877</v>
      </c>
      <c r="D60" s="44" t="s">
        <v>1875</v>
      </c>
      <c r="E60" s="45">
        <v>7.925</v>
      </c>
      <c r="F60" s="45">
        <v>7.925</v>
      </c>
      <c r="G60" s="46"/>
    </row>
    <row r="61" s="3" customFormat="1" customHeight="1" spans="1:7">
      <c r="A61" s="19">
        <f t="shared" si="0"/>
        <v>56</v>
      </c>
      <c r="B61" s="43" t="s">
        <v>563</v>
      </c>
      <c r="C61" s="43" t="s">
        <v>1877</v>
      </c>
      <c r="D61" s="44" t="s">
        <v>1857</v>
      </c>
      <c r="E61" s="45">
        <v>1.08</v>
      </c>
      <c r="F61" s="45">
        <v>1.08</v>
      </c>
      <c r="G61" s="46"/>
    </row>
    <row r="62" s="3" customFormat="1" customHeight="1" spans="1:7">
      <c r="A62" s="19">
        <f t="shared" si="0"/>
        <v>57</v>
      </c>
      <c r="B62" s="43" t="s">
        <v>563</v>
      </c>
      <c r="C62" s="43" t="s">
        <v>1877</v>
      </c>
      <c r="D62" s="44" t="s">
        <v>1858</v>
      </c>
      <c r="E62" s="45">
        <v>0.12</v>
      </c>
      <c r="F62" s="45">
        <v>0.12</v>
      </c>
      <c r="G62" s="46"/>
    </row>
    <row r="63" s="3" customFormat="1" customHeight="1" spans="1:7">
      <c r="A63" s="19">
        <f t="shared" si="0"/>
        <v>58</v>
      </c>
      <c r="B63" s="43" t="s">
        <v>563</v>
      </c>
      <c r="C63" s="43" t="s">
        <v>1878</v>
      </c>
      <c r="D63" s="44" t="s">
        <v>1857</v>
      </c>
      <c r="E63" s="45">
        <v>0.27</v>
      </c>
      <c r="F63" s="45">
        <v>0.27</v>
      </c>
      <c r="G63" s="46"/>
    </row>
    <row r="64" s="3" customFormat="1" customHeight="1" spans="1:7">
      <c r="A64" s="19">
        <f t="shared" si="0"/>
        <v>59</v>
      </c>
      <c r="B64" s="43" t="s">
        <v>563</v>
      </c>
      <c r="C64" s="43" t="s">
        <v>1878</v>
      </c>
      <c r="D64" s="44" t="s">
        <v>1858</v>
      </c>
      <c r="E64" s="45">
        <v>0.09</v>
      </c>
      <c r="F64" s="45">
        <v>0.09</v>
      </c>
      <c r="G64" s="46"/>
    </row>
    <row r="65" s="3" customFormat="1" customHeight="1" spans="1:7">
      <c r="A65" s="19">
        <f t="shared" si="0"/>
        <v>60</v>
      </c>
      <c r="B65" s="43" t="s">
        <v>563</v>
      </c>
      <c r="C65" s="43" t="s">
        <v>1878</v>
      </c>
      <c r="D65" s="44" t="s">
        <v>1876</v>
      </c>
      <c r="E65" s="45">
        <v>0.00609999999999999</v>
      </c>
      <c r="F65" s="45"/>
      <c r="G65" s="46"/>
    </row>
    <row r="66" s="3" customFormat="1" customHeight="1" spans="1:7">
      <c r="A66" s="19">
        <f t="shared" si="0"/>
        <v>61</v>
      </c>
      <c r="B66" s="43" t="s">
        <v>563</v>
      </c>
      <c r="C66" s="43" t="s">
        <v>1879</v>
      </c>
      <c r="D66" s="44" t="s">
        <v>1857</v>
      </c>
      <c r="E66" s="45">
        <v>0.36</v>
      </c>
      <c r="F66" s="45">
        <v>0.36</v>
      </c>
      <c r="G66" s="46"/>
    </row>
    <row r="67" s="3" customFormat="1" customHeight="1" spans="1:7">
      <c r="A67" s="19">
        <f t="shared" si="0"/>
        <v>62</v>
      </c>
      <c r="B67" s="43" t="s">
        <v>563</v>
      </c>
      <c r="C67" s="43" t="s">
        <v>1879</v>
      </c>
      <c r="D67" s="44" t="s">
        <v>1858</v>
      </c>
      <c r="E67" s="45">
        <v>0.36</v>
      </c>
      <c r="F67" s="45">
        <v>0.36</v>
      </c>
      <c r="G67" s="46"/>
    </row>
    <row r="68" s="3" customFormat="1" customHeight="1" spans="1:7">
      <c r="A68" s="19">
        <f t="shared" si="0"/>
        <v>63</v>
      </c>
      <c r="B68" s="43" t="s">
        <v>521</v>
      </c>
      <c r="C68" s="43" t="s">
        <v>1114</v>
      </c>
      <c r="D68" s="44" t="s">
        <v>1665</v>
      </c>
      <c r="E68" s="45">
        <v>12</v>
      </c>
      <c r="F68" s="45"/>
      <c r="G68" s="46"/>
    </row>
    <row r="69" s="3" customFormat="1" customHeight="1" spans="1:7">
      <c r="A69" s="19">
        <f t="shared" si="0"/>
        <v>64</v>
      </c>
      <c r="B69" s="43" t="s">
        <v>540</v>
      </c>
      <c r="C69" s="43" t="s">
        <v>1162</v>
      </c>
      <c r="D69" s="44" t="s">
        <v>1880</v>
      </c>
      <c r="E69" s="45">
        <v>3.5</v>
      </c>
      <c r="F69" s="45">
        <v>3.5</v>
      </c>
      <c r="G69" s="46"/>
    </row>
    <row r="70" s="3" customFormat="1" customHeight="1" spans="1:7">
      <c r="A70" s="19">
        <f t="shared" ref="A70:A133" si="1">ROW()-5</f>
        <v>65</v>
      </c>
      <c r="B70" s="43" t="s">
        <v>563</v>
      </c>
      <c r="C70" s="43" t="s">
        <v>1162</v>
      </c>
      <c r="D70" s="44" t="s">
        <v>1172</v>
      </c>
      <c r="E70" s="45">
        <v>2.0716</v>
      </c>
      <c r="F70" s="45"/>
      <c r="G70" s="46"/>
    </row>
    <row r="71" s="3" customFormat="1" customHeight="1" spans="1:7">
      <c r="A71" s="19">
        <f t="shared" si="1"/>
        <v>66</v>
      </c>
      <c r="B71" s="43" t="s">
        <v>563</v>
      </c>
      <c r="C71" s="43" t="s">
        <v>1162</v>
      </c>
      <c r="D71" s="44" t="s">
        <v>1881</v>
      </c>
      <c r="E71" s="45">
        <v>0.42</v>
      </c>
      <c r="F71" s="45"/>
      <c r="G71" s="46"/>
    </row>
    <row r="72" s="3" customFormat="1" customHeight="1" spans="1:7">
      <c r="A72" s="19">
        <f t="shared" si="1"/>
        <v>67</v>
      </c>
      <c r="B72" s="43" t="s">
        <v>540</v>
      </c>
      <c r="C72" s="43" t="s">
        <v>573</v>
      </c>
      <c r="D72" s="44" t="s">
        <v>1882</v>
      </c>
      <c r="E72" s="45">
        <v>0.4836</v>
      </c>
      <c r="F72" s="45">
        <v>0.4836</v>
      </c>
      <c r="G72" s="46"/>
    </row>
    <row r="73" s="3" customFormat="1" customHeight="1" spans="1:7">
      <c r="A73" s="19">
        <f t="shared" si="1"/>
        <v>68</v>
      </c>
      <c r="B73" s="43" t="s">
        <v>540</v>
      </c>
      <c r="C73" s="43" t="s">
        <v>1092</v>
      </c>
      <c r="D73" s="44" t="s">
        <v>1883</v>
      </c>
      <c r="E73" s="45">
        <v>421.51</v>
      </c>
      <c r="F73" s="45">
        <v>421.51</v>
      </c>
      <c r="G73" s="46"/>
    </row>
    <row r="74" s="3" customFormat="1" customHeight="1" spans="1:7">
      <c r="A74" s="19">
        <f t="shared" si="1"/>
        <v>69</v>
      </c>
      <c r="B74" s="43" t="s">
        <v>653</v>
      </c>
      <c r="C74" s="43" t="s">
        <v>1092</v>
      </c>
      <c r="D74" s="44" t="s">
        <v>1884</v>
      </c>
      <c r="E74" s="45">
        <v>10</v>
      </c>
      <c r="F74" s="45">
        <v>10</v>
      </c>
      <c r="G74" s="46"/>
    </row>
    <row r="75" s="3" customFormat="1" customHeight="1" spans="1:7">
      <c r="A75" s="19">
        <f t="shared" si="1"/>
        <v>70</v>
      </c>
      <c r="B75" s="43" t="s">
        <v>653</v>
      </c>
      <c r="C75" s="43" t="s">
        <v>1092</v>
      </c>
      <c r="D75" s="44" t="s">
        <v>1885</v>
      </c>
      <c r="E75" s="45">
        <v>80</v>
      </c>
      <c r="F75" s="45">
        <v>80</v>
      </c>
      <c r="G75" s="46"/>
    </row>
    <row r="76" s="3" customFormat="1" customHeight="1" spans="1:7">
      <c r="A76" s="19">
        <f t="shared" si="1"/>
        <v>71</v>
      </c>
      <c r="B76" s="43" t="s">
        <v>563</v>
      </c>
      <c r="C76" s="43" t="s">
        <v>794</v>
      </c>
      <c r="D76" s="44" t="s">
        <v>1886</v>
      </c>
      <c r="E76" s="45">
        <v>7.5</v>
      </c>
      <c r="F76" s="45"/>
      <c r="G76" s="46"/>
    </row>
    <row r="77" s="3" customFormat="1" customHeight="1" spans="1:7">
      <c r="A77" s="19">
        <f t="shared" si="1"/>
        <v>72</v>
      </c>
      <c r="B77" s="43" t="s">
        <v>563</v>
      </c>
      <c r="C77" s="43" t="s">
        <v>812</v>
      </c>
      <c r="D77" s="44" t="s">
        <v>103</v>
      </c>
      <c r="E77" s="45">
        <v>0.051059</v>
      </c>
      <c r="F77" s="45"/>
      <c r="G77" s="46"/>
    </row>
    <row r="78" s="3" customFormat="1" customHeight="1" spans="1:7">
      <c r="A78" s="19">
        <f t="shared" si="1"/>
        <v>73</v>
      </c>
      <c r="B78" s="43" t="s">
        <v>563</v>
      </c>
      <c r="C78" s="43" t="s">
        <v>592</v>
      </c>
      <c r="D78" s="44" t="s">
        <v>1887</v>
      </c>
      <c r="E78" s="45">
        <v>4.89</v>
      </c>
      <c r="F78" s="45"/>
      <c r="G78" s="46"/>
    </row>
    <row r="79" s="3" customFormat="1" customHeight="1" spans="1:7">
      <c r="A79" s="19">
        <f t="shared" si="1"/>
        <v>74</v>
      </c>
      <c r="B79" s="43" t="s">
        <v>563</v>
      </c>
      <c r="C79" s="43" t="s">
        <v>592</v>
      </c>
      <c r="D79" s="44" t="s">
        <v>594</v>
      </c>
      <c r="E79" s="45">
        <v>0.1712</v>
      </c>
      <c r="F79" s="45"/>
      <c r="G79" s="46"/>
    </row>
    <row r="80" s="3" customFormat="1" customHeight="1" spans="1:7">
      <c r="A80" s="19">
        <f t="shared" si="1"/>
        <v>75</v>
      </c>
      <c r="B80" s="43" t="s">
        <v>653</v>
      </c>
      <c r="C80" s="43" t="s">
        <v>806</v>
      </c>
      <c r="D80" s="44" t="s">
        <v>1888</v>
      </c>
      <c r="E80" s="45">
        <v>13.631</v>
      </c>
      <c r="F80" s="45">
        <v>13.63</v>
      </c>
      <c r="G80" s="46"/>
    </row>
    <row r="81" s="3" customFormat="1" customHeight="1" spans="1:7">
      <c r="A81" s="19">
        <f t="shared" si="1"/>
        <v>76</v>
      </c>
      <c r="B81" s="43" t="s">
        <v>653</v>
      </c>
      <c r="C81" s="43" t="s">
        <v>806</v>
      </c>
      <c r="D81" s="44" t="s">
        <v>1889</v>
      </c>
      <c r="E81" s="45">
        <v>4.44</v>
      </c>
      <c r="F81" s="45">
        <v>4.44</v>
      </c>
      <c r="G81" s="46"/>
    </row>
    <row r="82" s="3" customFormat="1" customHeight="1" spans="1:7">
      <c r="A82" s="19">
        <f t="shared" si="1"/>
        <v>77</v>
      </c>
      <c r="B82" s="43" t="s">
        <v>653</v>
      </c>
      <c r="C82" s="43" t="s">
        <v>806</v>
      </c>
      <c r="D82" s="44" t="s">
        <v>809</v>
      </c>
      <c r="E82" s="45">
        <v>0.00643299999999319</v>
      </c>
      <c r="F82" s="45"/>
      <c r="G82" s="46"/>
    </row>
    <row r="83" s="3" customFormat="1" customHeight="1" spans="1:7">
      <c r="A83" s="19">
        <f t="shared" si="1"/>
        <v>78</v>
      </c>
      <c r="B83" s="43" t="s">
        <v>653</v>
      </c>
      <c r="C83" s="43" t="s">
        <v>806</v>
      </c>
      <c r="D83" s="44" t="s">
        <v>1889</v>
      </c>
      <c r="E83" s="45">
        <v>23.01</v>
      </c>
      <c r="F83" s="45">
        <v>23.01</v>
      </c>
      <c r="G83" s="46"/>
    </row>
    <row r="84" s="3" customFormat="1" customHeight="1" spans="1:7">
      <c r="A84" s="19">
        <f t="shared" si="1"/>
        <v>79</v>
      </c>
      <c r="B84" s="43" t="s">
        <v>611</v>
      </c>
      <c r="C84" s="43" t="s">
        <v>1504</v>
      </c>
      <c r="D84" s="44" t="s">
        <v>1890</v>
      </c>
      <c r="E84" s="45">
        <v>89.38415</v>
      </c>
      <c r="F84" s="45">
        <v>89.38415</v>
      </c>
      <c r="G84" s="46"/>
    </row>
    <row r="85" s="3" customFormat="1" customHeight="1" spans="1:7">
      <c r="A85" s="19">
        <f t="shared" si="1"/>
        <v>80</v>
      </c>
      <c r="B85" s="43" t="s">
        <v>563</v>
      </c>
      <c r="C85" s="43" t="s">
        <v>1504</v>
      </c>
      <c r="D85" s="44" t="s">
        <v>1891</v>
      </c>
      <c r="E85" s="45">
        <v>5</v>
      </c>
      <c r="F85" s="45">
        <v>5</v>
      </c>
      <c r="G85" s="46"/>
    </row>
    <row r="86" s="3" customFormat="1" customHeight="1" spans="1:7">
      <c r="A86" s="19">
        <f t="shared" si="1"/>
        <v>81</v>
      </c>
      <c r="B86" s="43" t="s">
        <v>563</v>
      </c>
      <c r="C86" s="43" t="s">
        <v>1504</v>
      </c>
      <c r="D86" s="44" t="s">
        <v>1892</v>
      </c>
      <c r="E86" s="45">
        <v>4.122516</v>
      </c>
      <c r="F86" s="45">
        <v>4.122516</v>
      </c>
      <c r="G86" s="46"/>
    </row>
    <row r="87" s="3" customFormat="1" customHeight="1" spans="1:7">
      <c r="A87" s="19">
        <f t="shared" si="1"/>
        <v>82</v>
      </c>
      <c r="B87" s="43" t="s">
        <v>563</v>
      </c>
      <c r="C87" s="43" t="s">
        <v>1893</v>
      </c>
      <c r="D87" s="44" t="s">
        <v>610</v>
      </c>
      <c r="E87" s="45">
        <v>8.968947</v>
      </c>
      <c r="F87" s="45"/>
      <c r="G87" s="46"/>
    </row>
    <row r="88" s="3" customFormat="1" customHeight="1" spans="1:7">
      <c r="A88" s="19">
        <f t="shared" si="1"/>
        <v>83</v>
      </c>
      <c r="B88" s="43" t="s">
        <v>563</v>
      </c>
      <c r="C88" s="20" t="s">
        <v>1185</v>
      </c>
      <c r="D88" s="44" t="s">
        <v>1894</v>
      </c>
      <c r="E88" s="45">
        <v>4.242098</v>
      </c>
      <c r="F88" s="45"/>
      <c r="G88" s="46"/>
    </row>
    <row r="89" s="28" customFormat="1" customHeight="1" spans="1:7">
      <c r="A89" s="19">
        <f t="shared" si="1"/>
        <v>84</v>
      </c>
      <c r="B89" s="50" t="s">
        <v>563</v>
      </c>
      <c r="C89" s="51" t="s">
        <v>1185</v>
      </c>
      <c r="D89" s="49" t="s">
        <v>1895</v>
      </c>
      <c r="E89" s="47">
        <v>1.40000000000001</v>
      </c>
      <c r="F89" s="47">
        <v>1.4</v>
      </c>
      <c r="G89" s="48"/>
    </row>
    <row r="90" s="28" customFormat="1" customHeight="1" spans="1:7">
      <c r="A90" s="19">
        <f t="shared" si="1"/>
        <v>85</v>
      </c>
      <c r="B90" s="50" t="s">
        <v>563</v>
      </c>
      <c r="C90" s="51" t="s">
        <v>1185</v>
      </c>
      <c r="D90" s="49" t="s">
        <v>1896</v>
      </c>
      <c r="E90" s="47">
        <v>3.901879</v>
      </c>
      <c r="F90" s="47">
        <v>3.901879</v>
      </c>
      <c r="G90" s="48"/>
    </row>
    <row r="91" s="28" customFormat="1" customHeight="1" spans="1:7">
      <c r="A91" s="19">
        <f t="shared" si="1"/>
        <v>86</v>
      </c>
      <c r="B91" s="50" t="s">
        <v>563</v>
      </c>
      <c r="C91" s="50" t="s">
        <v>1075</v>
      </c>
      <c r="D91" s="49" t="s">
        <v>1076</v>
      </c>
      <c r="E91" s="47">
        <v>13.350662</v>
      </c>
      <c r="F91" s="47"/>
      <c r="G91" s="48"/>
    </row>
    <row r="92" s="28" customFormat="1" customHeight="1" spans="1:7">
      <c r="A92" s="19">
        <f t="shared" si="1"/>
        <v>87</v>
      </c>
      <c r="B92" s="50" t="s">
        <v>563</v>
      </c>
      <c r="C92" s="50" t="s">
        <v>1064</v>
      </c>
      <c r="D92" s="49" t="s">
        <v>1069</v>
      </c>
      <c r="E92" s="47">
        <v>0.011599</v>
      </c>
      <c r="F92" s="47"/>
      <c r="G92" s="48"/>
    </row>
    <row r="93" s="28" customFormat="1" customHeight="1" spans="1:7">
      <c r="A93" s="19">
        <f t="shared" si="1"/>
        <v>88</v>
      </c>
      <c r="B93" s="50" t="s">
        <v>653</v>
      </c>
      <c r="C93" s="50" t="s">
        <v>1897</v>
      </c>
      <c r="D93" s="49" t="s">
        <v>1053</v>
      </c>
      <c r="E93" s="47">
        <v>13.285262</v>
      </c>
      <c r="F93" s="47"/>
      <c r="G93" s="48"/>
    </row>
    <row r="94" s="3" customFormat="1" customHeight="1" spans="1:7">
      <c r="A94" s="19">
        <f t="shared" si="1"/>
        <v>89</v>
      </c>
      <c r="B94" s="43" t="s">
        <v>540</v>
      </c>
      <c r="C94" s="43" t="s">
        <v>585</v>
      </c>
      <c r="D94" s="44" t="s">
        <v>1898</v>
      </c>
      <c r="E94" s="45">
        <v>44.8</v>
      </c>
      <c r="F94" s="45">
        <v>44.8</v>
      </c>
      <c r="G94" s="21"/>
    </row>
    <row r="95" s="3" customFormat="1" customHeight="1" spans="1:7">
      <c r="A95" s="19">
        <f t="shared" si="1"/>
        <v>90</v>
      </c>
      <c r="B95" s="43" t="s">
        <v>540</v>
      </c>
      <c r="C95" s="43" t="s">
        <v>585</v>
      </c>
      <c r="D95" s="44" t="s">
        <v>1899</v>
      </c>
      <c r="E95" s="45">
        <v>7</v>
      </c>
      <c r="F95" s="45">
        <v>7</v>
      </c>
      <c r="G95" s="21"/>
    </row>
    <row r="96" s="3" customFormat="1" customHeight="1" spans="1:7">
      <c r="A96" s="19">
        <f t="shared" si="1"/>
        <v>91</v>
      </c>
      <c r="B96" s="43" t="s">
        <v>540</v>
      </c>
      <c r="C96" s="43" t="s">
        <v>585</v>
      </c>
      <c r="D96" s="44" t="s">
        <v>1900</v>
      </c>
      <c r="E96" s="45">
        <v>16.1</v>
      </c>
      <c r="F96" s="45">
        <v>16.1</v>
      </c>
      <c r="G96" s="21"/>
    </row>
    <row r="97" s="3" customFormat="1" customHeight="1" spans="1:7">
      <c r="A97" s="19">
        <f t="shared" si="1"/>
        <v>92</v>
      </c>
      <c r="B97" s="43" t="s">
        <v>540</v>
      </c>
      <c r="C97" s="43" t="s">
        <v>585</v>
      </c>
      <c r="D97" s="44" t="s">
        <v>1901</v>
      </c>
      <c r="E97" s="45">
        <v>6.5</v>
      </c>
      <c r="F97" s="45">
        <v>6.5</v>
      </c>
      <c r="G97" s="21"/>
    </row>
    <row r="98" s="3" customFormat="1" customHeight="1" spans="1:7">
      <c r="A98" s="19">
        <f t="shared" si="1"/>
        <v>93</v>
      </c>
      <c r="B98" s="43" t="s">
        <v>611</v>
      </c>
      <c r="C98" s="43" t="s">
        <v>585</v>
      </c>
      <c r="D98" s="44" t="s">
        <v>1902</v>
      </c>
      <c r="E98" s="45">
        <v>282.937</v>
      </c>
      <c r="F98" s="45">
        <v>282.937</v>
      </c>
      <c r="G98" s="46"/>
    </row>
    <row r="99" s="3" customFormat="1" customHeight="1" spans="1:7">
      <c r="A99" s="19">
        <f t="shared" si="1"/>
        <v>94</v>
      </c>
      <c r="B99" s="43" t="s">
        <v>611</v>
      </c>
      <c r="C99" s="43" t="s">
        <v>585</v>
      </c>
      <c r="D99" s="44" t="s">
        <v>1882</v>
      </c>
      <c r="E99" s="45">
        <v>150.478588</v>
      </c>
      <c r="F99" s="45">
        <v>150.478588</v>
      </c>
      <c r="G99" s="46"/>
    </row>
    <row r="100" s="3" customFormat="1" customHeight="1" spans="1:7">
      <c r="A100" s="19">
        <f t="shared" si="1"/>
        <v>95</v>
      </c>
      <c r="B100" s="43" t="s">
        <v>611</v>
      </c>
      <c r="C100" s="43" t="s">
        <v>585</v>
      </c>
      <c r="D100" s="44" t="s">
        <v>1900</v>
      </c>
      <c r="E100" s="45">
        <v>910.9</v>
      </c>
      <c r="F100" s="45">
        <v>910.9</v>
      </c>
      <c r="G100" s="46"/>
    </row>
    <row r="101" s="3" customFormat="1" customHeight="1" spans="1:7">
      <c r="A101" s="19">
        <f t="shared" si="1"/>
        <v>96</v>
      </c>
      <c r="B101" s="43" t="s">
        <v>540</v>
      </c>
      <c r="C101" s="43" t="s">
        <v>848</v>
      </c>
      <c r="D101" s="44" t="s">
        <v>1903</v>
      </c>
      <c r="E101" s="45">
        <v>67.5</v>
      </c>
      <c r="F101" s="45">
        <v>67.5</v>
      </c>
      <c r="G101" s="46"/>
    </row>
    <row r="102" s="3" customFormat="1" customHeight="1" spans="1:7">
      <c r="A102" s="19">
        <f t="shared" si="1"/>
        <v>97</v>
      </c>
      <c r="B102" s="43" t="s">
        <v>540</v>
      </c>
      <c r="C102" s="43" t="s">
        <v>848</v>
      </c>
      <c r="D102" s="44" t="s">
        <v>1904</v>
      </c>
      <c r="E102" s="45">
        <v>20</v>
      </c>
      <c r="F102" s="45">
        <v>20</v>
      </c>
      <c r="G102" s="46"/>
    </row>
    <row r="103" s="3" customFormat="1" customHeight="1" spans="1:7">
      <c r="A103" s="19">
        <f t="shared" si="1"/>
        <v>98</v>
      </c>
      <c r="B103" s="43" t="s">
        <v>540</v>
      </c>
      <c r="C103" s="43" t="s">
        <v>848</v>
      </c>
      <c r="D103" s="44" t="s">
        <v>1905</v>
      </c>
      <c r="E103" s="45">
        <v>110</v>
      </c>
      <c r="F103" s="45">
        <v>110</v>
      </c>
      <c r="G103" s="46"/>
    </row>
    <row r="104" s="3" customFormat="1" customHeight="1" spans="1:7">
      <c r="A104" s="19">
        <f t="shared" si="1"/>
        <v>99</v>
      </c>
      <c r="B104" s="43" t="s">
        <v>540</v>
      </c>
      <c r="C104" s="43" t="s">
        <v>848</v>
      </c>
      <c r="D104" s="44" t="s">
        <v>1906</v>
      </c>
      <c r="E104" s="45">
        <v>217.471258</v>
      </c>
      <c r="F104" s="45">
        <v>217.471258</v>
      </c>
      <c r="G104" s="46"/>
    </row>
    <row r="105" s="3" customFormat="1" customHeight="1" spans="1:7">
      <c r="A105" s="19">
        <f t="shared" si="1"/>
        <v>100</v>
      </c>
      <c r="B105" s="43" t="s">
        <v>540</v>
      </c>
      <c r="C105" s="43" t="s">
        <v>848</v>
      </c>
      <c r="D105" s="44" t="s">
        <v>1900</v>
      </c>
      <c r="E105" s="45">
        <v>36</v>
      </c>
      <c r="F105" s="45">
        <v>36</v>
      </c>
      <c r="G105" s="46"/>
    </row>
    <row r="106" s="3" customFormat="1" customHeight="1" spans="1:7">
      <c r="A106" s="19">
        <f t="shared" si="1"/>
        <v>101</v>
      </c>
      <c r="B106" s="43" t="s">
        <v>540</v>
      </c>
      <c r="C106" s="43" t="s">
        <v>848</v>
      </c>
      <c r="D106" s="44" t="s">
        <v>1882</v>
      </c>
      <c r="E106" s="45">
        <v>487.235078</v>
      </c>
      <c r="F106" s="45">
        <v>487.235078</v>
      </c>
      <c r="G106" s="46"/>
    </row>
    <row r="107" s="3" customFormat="1" customHeight="1" spans="1:7">
      <c r="A107" s="19">
        <f t="shared" si="1"/>
        <v>102</v>
      </c>
      <c r="B107" s="43" t="s">
        <v>540</v>
      </c>
      <c r="C107" s="43" t="s">
        <v>848</v>
      </c>
      <c r="D107" s="44" t="s">
        <v>1882</v>
      </c>
      <c r="E107" s="45">
        <v>2079.075837</v>
      </c>
      <c r="F107" s="45">
        <v>2079.075837</v>
      </c>
      <c r="G107" s="21"/>
    </row>
    <row r="108" s="3" customFormat="1" customHeight="1" spans="1:7">
      <c r="A108" s="19">
        <f t="shared" si="1"/>
        <v>103</v>
      </c>
      <c r="B108" s="43" t="s">
        <v>540</v>
      </c>
      <c r="C108" s="43" t="s">
        <v>848</v>
      </c>
      <c r="D108" s="44" t="s">
        <v>1907</v>
      </c>
      <c r="E108" s="45">
        <v>45</v>
      </c>
      <c r="F108" s="45">
        <v>45</v>
      </c>
      <c r="G108" s="46"/>
    </row>
    <row r="109" s="3" customFormat="1" customHeight="1" spans="1:7">
      <c r="A109" s="19">
        <f t="shared" si="1"/>
        <v>104</v>
      </c>
      <c r="B109" s="43" t="s">
        <v>540</v>
      </c>
      <c r="C109" s="43" t="s">
        <v>848</v>
      </c>
      <c r="D109" s="44" t="s">
        <v>1908</v>
      </c>
      <c r="E109" s="45">
        <v>4.1</v>
      </c>
      <c r="F109" s="45">
        <v>4.1</v>
      </c>
      <c r="G109" s="46"/>
    </row>
    <row r="110" s="3" customFormat="1" customHeight="1" spans="1:7">
      <c r="A110" s="19">
        <f t="shared" si="1"/>
        <v>105</v>
      </c>
      <c r="B110" s="43" t="s">
        <v>540</v>
      </c>
      <c r="C110" s="43" t="s">
        <v>848</v>
      </c>
      <c r="D110" s="44" t="s">
        <v>1909</v>
      </c>
      <c r="E110" s="45">
        <v>5.2</v>
      </c>
      <c r="F110" s="45">
        <v>5.2</v>
      </c>
      <c r="G110" s="21"/>
    </row>
    <row r="111" s="3" customFormat="1" customHeight="1" spans="1:7">
      <c r="A111" s="19">
        <f t="shared" si="1"/>
        <v>106</v>
      </c>
      <c r="B111" s="43" t="s">
        <v>540</v>
      </c>
      <c r="C111" s="43" t="s">
        <v>848</v>
      </c>
      <c r="D111" s="44" t="s">
        <v>1909</v>
      </c>
      <c r="E111" s="45">
        <v>1.8</v>
      </c>
      <c r="F111" s="45">
        <v>1.8</v>
      </c>
      <c r="G111" s="21"/>
    </row>
    <row r="112" s="3" customFormat="1" customHeight="1" spans="1:7">
      <c r="A112" s="19">
        <f t="shared" si="1"/>
        <v>107</v>
      </c>
      <c r="B112" s="43" t="s">
        <v>540</v>
      </c>
      <c r="C112" s="43" t="s">
        <v>848</v>
      </c>
      <c r="D112" s="44" t="s">
        <v>1910</v>
      </c>
      <c r="E112" s="45">
        <v>105.2858</v>
      </c>
      <c r="F112" s="45">
        <v>105.2858</v>
      </c>
      <c r="G112" s="46"/>
    </row>
    <row r="113" s="3" customFormat="1" customHeight="1" spans="1:7">
      <c r="A113" s="19">
        <f t="shared" si="1"/>
        <v>108</v>
      </c>
      <c r="B113" s="43" t="s">
        <v>540</v>
      </c>
      <c r="C113" s="43" t="s">
        <v>848</v>
      </c>
      <c r="D113" s="44" t="s">
        <v>1911</v>
      </c>
      <c r="E113" s="45">
        <v>46</v>
      </c>
      <c r="F113" s="45">
        <v>46</v>
      </c>
      <c r="G113" s="46"/>
    </row>
    <row r="114" s="3" customFormat="1" customHeight="1" spans="1:7">
      <c r="A114" s="19">
        <f t="shared" si="1"/>
        <v>109</v>
      </c>
      <c r="B114" s="43" t="s">
        <v>540</v>
      </c>
      <c r="C114" s="43" t="s">
        <v>848</v>
      </c>
      <c r="D114" s="44" t="s">
        <v>1912</v>
      </c>
      <c r="E114" s="45">
        <v>65</v>
      </c>
      <c r="F114" s="45">
        <v>65</v>
      </c>
      <c r="G114" s="46"/>
    </row>
    <row r="115" s="3" customFormat="1" customHeight="1" spans="1:7">
      <c r="A115" s="19">
        <f t="shared" si="1"/>
        <v>110</v>
      </c>
      <c r="B115" s="43" t="s">
        <v>540</v>
      </c>
      <c r="C115" s="43" t="s">
        <v>848</v>
      </c>
      <c r="D115" s="44" t="s">
        <v>1906</v>
      </c>
      <c r="E115" s="45">
        <v>1724</v>
      </c>
      <c r="F115" s="45">
        <v>1724</v>
      </c>
      <c r="G115" s="46"/>
    </row>
    <row r="116" s="3" customFormat="1" customHeight="1" spans="1:7">
      <c r="A116" s="19">
        <f t="shared" si="1"/>
        <v>111</v>
      </c>
      <c r="B116" s="43" t="s">
        <v>540</v>
      </c>
      <c r="C116" s="43" t="s">
        <v>848</v>
      </c>
      <c r="D116" s="44" t="s">
        <v>1913</v>
      </c>
      <c r="E116" s="45">
        <v>0.2</v>
      </c>
      <c r="F116" s="45">
        <v>0.2</v>
      </c>
      <c r="G116" s="46"/>
    </row>
    <row r="117" s="3" customFormat="1" customHeight="1" spans="1:7">
      <c r="A117" s="19">
        <f t="shared" si="1"/>
        <v>112</v>
      </c>
      <c r="B117" s="43" t="s">
        <v>540</v>
      </c>
      <c r="C117" s="43" t="s">
        <v>848</v>
      </c>
      <c r="D117" s="44" t="s">
        <v>1914</v>
      </c>
      <c r="E117" s="45">
        <v>122</v>
      </c>
      <c r="F117" s="45">
        <v>122</v>
      </c>
      <c r="G117" s="46"/>
    </row>
    <row r="118" s="3" customFormat="1" customHeight="1" spans="1:7">
      <c r="A118" s="19">
        <f t="shared" si="1"/>
        <v>113</v>
      </c>
      <c r="B118" s="43" t="s">
        <v>653</v>
      </c>
      <c r="C118" s="43" t="s">
        <v>848</v>
      </c>
      <c r="D118" s="44" t="s">
        <v>1903</v>
      </c>
      <c r="E118" s="45">
        <v>82.75</v>
      </c>
      <c r="F118" s="45"/>
      <c r="G118" s="46"/>
    </row>
    <row r="119" s="3" customFormat="1" customHeight="1" spans="1:7">
      <c r="A119" s="19">
        <f t="shared" si="1"/>
        <v>114</v>
      </c>
      <c r="B119" s="43" t="s">
        <v>540</v>
      </c>
      <c r="C119" s="43" t="s">
        <v>669</v>
      </c>
      <c r="D119" s="44" t="s">
        <v>1914</v>
      </c>
      <c r="E119" s="45">
        <v>266.982152</v>
      </c>
      <c r="F119" s="45">
        <v>266.982152</v>
      </c>
      <c r="G119" s="46"/>
    </row>
    <row r="120" s="3" customFormat="1" customHeight="1" spans="1:7">
      <c r="A120" s="19">
        <f t="shared" si="1"/>
        <v>115</v>
      </c>
      <c r="B120" s="43" t="s">
        <v>540</v>
      </c>
      <c r="C120" s="43" t="s">
        <v>669</v>
      </c>
      <c r="D120" s="44" t="s">
        <v>1900</v>
      </c>
      <c r="E120" s="45">
        <v>42</v>
      </c>
      <c r="F120" s="45">
        <v>42</v>
      </c>
      <c r="G120" s="46"/>
    </row>
    <row r="121" s="3" customFormat="1" customHeight="1" spans="1:7">
      <c r="A121" s="19">
        <f t="shared" si="1"/>
        <v>116</v>
      </c>
      <c r="B121" s="43" t="s">
        <v>540</v>
      </c>
      <c r="C121" s="43" t="s">
        <v>1915</v>
      </c>
      <c r="D121" s="44" t="s">
        <v>1882</v>
      </c>
      <c r="E121" s="45">
        <v>191.5</v>
      </c>
      <c r="F121" s="45">
        <v>191.5</v>
      </c>
      <c r="G121" s="46"/>
    </row>
    <row r="122" s="3" customFormat="1" customHeight="1" spans="1:7">
      <c r="A122" s="19">
        <f t="shared" si="1"/>
        <v>117</v>
      </c>
      <c r="B122" s="43" t="s">
        <v>540</v>
      </c>
      <c r="C122" s="43" t="s">
        <v>1915</v>
      </c>
      <c r="D122" s="44" t="s">
        <v>1882</v>
      </c>
      <c r="E122" s="45">
        <v>224.013146</v>
      </c>
      <c r="F122" s="45">
        <v>224.013146</v>
      </c>
      <c r="G122" s="46"/>
    </row>
    <row r="123" s="3" customFormat="1" customHeight="1" spans="1:7">
      <c r="A123" s="19">
        <f t="shared" si="1"/>
        <v>118</v>
      </c>
      <c r="B123" s="43" t="s">
        <v>540</v>
      </c>
      <c r="C123" s="43" t="s">
        <v>1915</v>
      </c>
      <c r="D123" s="44" t="s">
        <v>1900</v>
      </c>
      <c r="E123" s="45">
        <v>52.890816</v>
      </c>
      <c r="F123" s="45">
        <v>52.890816</v>
      </c>
      <c r="G123" s="46"/>
    </row>
    <row r="124" s="3" customFormat="1" customHeight="1" spans="1:7">
      <c r="A124" s="19">
        <f t="shared" si="1"/>
        <v>119</v>
      </c>
      <c r="B124" s="43" t="s">
        <v>521</v>
      </c>
      <c r="C124" s="20" t="s">
        <v>1477</v>
      </c>
      <c r="D124" s="44" t="s">
        <v>1478</v>
      </c>
      <c r="E124" s="45">
        <v>95.14</v>
      </c>
      <c r="F124" s="45"/>
      <c r="G124" s="46"/>
    </row>
    <row r="125" s="3" customFormat="1" customHeight="1" spans="1:7">
      <c r="A125" s="19">
        <f t="shared" si="1"/>
        <v>120</v>
      </c>
      <c r="B125" s="43" t="s">
        <v>521</v>
      </c>
      <c r="C125" s="20" t="s">
        <v>1477</v>
      </c>
      <c r="D125" s="44" t="s">
        <v>1916</v>
      </c>
      <c r="E125" s="45">
        <v>1.984581</v>
      </c>
      <c r="F125" s="45">
        <v>1.98</v>
      </c>
      <c r="G125" s="46"/>
    </row>
    <row r="126" s="3" customFormat="1" customHeight="1" spans="1:7">
      <c r="A126" s="19">
        <f t="shared" si="1"/>
        <v>121</v>
      </c>
      <c r="B126" s="43" t="s">
        <v>521</v>
      </c>
      <c r="C126" s="20" t="s">
        <v>1477</v>
      </c>
      <c r="D126" s="44" t="s">
        <v>1917</v>
      </c>
      <c r="E126" s="45">
        <v>0.06</v>
      </c>
      <c r="F126" s="45"/>
      <c r="G126" s="46"/>
    </row>
    <row r="127" s="3" customFormat="1" customHeight="1" spans="1:7">
      <c r="A127" s="19">
        <f t="shared" si="1"/>
        <v>122</v>
      </c>
      <c r="B127" s="43" t="s">
        <v>521</v>
      </c>
      <c r="C127" s="43" t="s">
        <v>895</v>
      </c>
      <c r="D127" s="44" t="s">
        <v>1918</v>
      </c>
      <c r="E127" s="45">
        <v>1.75049</v>
      </c>
      <c r="F127" s="45"/>
      <c r="G127" s="46"/>
    </row>
    <row r="128" s="3" customFormat="1" customHeight="1" spans="1:7">
      <c r="A128" s="19">
        <f t="shared" si="1"/>
        <v>123</v>
      </c>
      <c r="B128" s="43" t="s">
        <v>521</v>
      </c>
      <c r="C128" s="43" t="s">
        <v>895</v>
      </c>
      <c r="D128" s="44" t="s">
        <v>1919</v>
      </c>
      <c r="E128" s="45">
        <v>1</v>
      </c>
      <c r="F128" s="45"/>
      <c r="G128" s="46"/>
    </row>
    <row r="129" s="3" customFormat="1" customHeight="1" spans="1:7">
      <c r="A129" s="19">
        <f t="shared" si="1"/>
        <v>124</v>
      </c>
      <c r="B129" s="43" t="s">
        <v>521</v>
      </c>
      <c r="C129" s="43" t="s">
        <v>895</v>
      </c>
      <c r="D129" s="44" t="s">
        <v>901</v>
      </c>
      <c r="E129" s="45">
        <v>1.64</v>
      </c>
      <c r="F129" s="45"/>
      <c r="G129" s="46"/>
    </row>
    <row r="130" s="3" customFormat="1" customHeight="1" spans="1:7">
      <c r="A130" s="19">
        <f t="shared" si="1"/>
        <v>125</v>
      </c>
      <c r="B130" s="43" t="s">
        <v>521</v>
      </c>
      <c r="C130" s="43" t="s">
        <v>895</v>
      </c>
      <c r="D130" s="44" t="s">
        <v>1920</v>
      </c>
      <c r="E130" s="45">
        <v>60</v>
      </c>
      <c r="F130" s="45"/>
      <c r="G130" s="46"/>
    </row>
    <row r="131" s="3" customFormat="1" customHeight="1" spans="1:7">
      <c r="A131" s="19">
        <f t="shared" si="1"/>
        <v>126</v>
      </c>
      <c r="B131" s="43" t="s">
        <v>521</v>
      </c>
      <c r="C131" s="43" t="s">
        <v>781</v>
      </c>
      <c r="D131" s="44" t="s">
        <v>1921</v>
      </c>
      <c r="E131" s="45">
        <v>0.95026</v>
      </c>
      <c r="F131" s="45">
        <v>0.95026</v>
      </c>
      <c r="G131" s="46"/>
    </row>
    <row r="132" s="3" customFormat="1" customHeight="1" spans="1:7">
      <c r="A132" s="19">
        <f t="shared" si="1"/>
        <v>127</v>
      </c>
      <c r="B132" s="43" t="s">
        <v>521</v>
      </c>
      <c r="C132" s="43" t="s">
        <v>781</v>
      </c>
      <c r="D132" s="44" t="s">
        <v>1922</v>
      </c>
      <c r="E132" s="45">
        <v>3.6</v>
      </c>
      <c r="F132" s="45">
        <v>3.6</v>
      </c>
      <c r="G132" s="46"/>
    </row>
    <row r="133" s="3" customFormat="1" customHeight="1" spans="1:7">
      <c r="A133" s="19">
        <f t="shared" si="1"/>
        <v>128</v>
      </c>
      <c r="B133" s="43" t="s">
        <v>521</v>
      </c>
      <c r="C133" s="43" t="s">
        <v>781</v>
      </c>
      <c r="D133" s="44" t="s">
        <v>1923</v>
      </c>
      <c r="E133" s="45">
        <v>7.9</v>
      </c>
      <c r="F133" s="45">
        <v>7.9</v>
      </c>
      <c r="G133" s="46"/>
    </row>
    <row r="134" s="3" customFormat="1" customHeight="1" spans="1:7">
      <c r="A134" s="19">
        <f t="shared" ref="A134:A161" si="2">ROW()-5</f>
        <v>129</v>
      </c>
      <c r="B134" s="43" t="s">
        <v>521</v>
      </c>
      <c r="C134" s="43" t="s">
        <v>781</v>
      </c>
      <c r="D134" s="44" t="s">
        <v>1924</v>
      </c>
      <c r="E134" s="45">
        <v>2.2</v>
      </c>
      <c r="F134" s="45">
        <v>2.2</v>
      </c>
      <c r="G134" s="46"/>
    </row>
    <row r="135" s="3" customFormat="1" customHeight="1" spans="1:7">
      <c r="A135" s="19">
        <f t="shared" si="2"/>
        <v>130</v>
      </c>
      <c r="B135" s="43" t="s">
        <v>521</v>
      </c>
      <c r="C135" s="43" t="s">
        <v>781</v>
      </c>
      <c r="D135" s="44" t="s">
        <v>1925</v>
      </c>
      <c r="E135" s="45">
        <v>0.226</v>
      </c>
      <c r="F135" s="45">
        <v>0.226</v>
      </c>
      <c r="G135" s="46"/>
    </row>
    <row r="136" s="3" customFormat="1" customHeight="1" spans="1:7">
      <c r="A136" s="19">
        <f t="shared" si="2"/>
        <v>131</v>
      </c>
      <c r="B136" s="43" t="s">
        <v>521</v>
      </c>
      <c r="C136" s="43" t="s">
        <v>701</v>
      </c>
      <c r="D136" s="44" t="s">
        <v>1926</v>
      </c>
      <c r="E136" s="45">
        <v>1.29</v>
      </c>
      <c r="F136" s="45"/>
      <c r="G136" s="46"/>
    </row>
    <row r="137" s="3" customFormat="1" customHeight="1" spans="1:7">
      <c r="A137" s="19">
        <f t="shared" si="2"/>
        <v>132</v>
      </c>
      <c r="B137" s="43" t="s">
        <v>521</v>
      </c>
      <c r="C137" s="43" t="s">
        <v>701</v>
      </c>
      <c r="D137" s="44" t="s">
        <v>1927</v>
      </c>
      <c r="E137" s="45">
        <v>0.833410999999998</v>
      </c>
      <c r="F137" s="45"/>
      <c r="G137" s="46"/>
    </row>
    <row r="138" s="3" customFormat="1" customHeight="1" spans="1:7">
      <c r="A138" s="19">
        <f t="shared" si="2"/>
        <v>133</v>
      </c>
      <c r="B138" s="43" t="s">
        <v>521</v>
      </c>
      <c r="C138" s="43" t="s">
        <v>701</v>
      </c>
      <c r="D138" s="44" t="s">
        <v>1928</v>
      </c>
      <c r="E138" s="45">
        <v>0.9291</v>
      </c>
      <c r="F138" s="45"/>
      <c r="G138" s="46"/>
    </row>
    <row r="139" s="3" customFormat="1" customHeight="1" spans="1:7">
      <c r="A139" s="19">
        <f t="shared" si="2"/>
        <v>134</v>
      </c>
      <c r="B139" s="43" t="s">
        <v>521</v>
      </c>
      <c r="C139" s="43" t="s">
        <v>701</v>
      </c>
      <c r="D139" s="44" t="s">
        <v>1929</v>
      </c>
      <c r="E139" s="45">
        <v>17.6662</v>
      </c>
      <c r="F139" s="45"/>
      <c r="G139" s="46"/>
    </row>
    <row r="140" s="3" customFormat="1" customHeight="1" spans="1:7">
      <c r="A140" s="19">
        <f t="shared" si="2"/>
        <v>135</v>
      </c>
      <c r="B140" s="43" t="s">
        <v>521</v>
      </c>
      <c r="C140" s="43" t="s">
        <v>701</v>
      </c>
      <c r="D140" s="44" t="s">
        <v>1930</v>
      </c>
      <c r="E140" s="45">
        <v>2.05</v>
      </c>
      <c r="F140" s="45"/>
      <c r="G140" s="46"/>
    </row>
    <row r="141" s="3" customFormat="1" customHeight="1" spans="1:7">
      <c r="A141" s="19">
        <f t="shared" si="2"/>
        <v>136</v>
      </c>
      <c r="B141" s="43" t="s">
        <v>521</v>
      </c>
      <c r="C141" s="43" t="s">
        <v>701</v>
      </c>
      <c r="D141" s="44" t="s">
        <v>523</v>
      </c>
      <c r="E141" s="45">
        <v>0.00599299999999969</v>
      </c>
      <c r="F141" s="45"/>
      <c r="G141" s="46"/>
    </row>
    <row r="142" s="3" customFormat="1" customHeight="1" spans="1:7">
      <c r="A142" s="19">
        <f t="shared" si="2"/>
        <v>137</v>
      </c>
      <c r="B142" s="43" t="s">
        <v>521</v>
      </c>
      <c r="C142" s="43" t="s">
        <v>701</v>
      </c>
      <c r="D142" s="44" t="s">
        <v>1931</v>
      </c>
      <c r="E142" s="45">
        <v>2.9308</v>
      </c>
      <c r="F142" s="45"/>
      <c r="G142" s="46"/>
    </row>
    <row r="143" s="3" customFormat="1" customHeight="1" spans="1:7">
      <c r="A143" s="19">
        <f t="shared" si="2"/>
        <v>138</v>
      </c>
      <c r="B143" s="43" t="s">
        <v>521</v>
      </c>
      <c r="C143" s="43" t="s">
        <v>701</v>
      </c>
      <c r="D143" s="44" t="s">
        <v>1932</v>
      </c>
      <c r="E143" s="45">
        <v>1.4</v>
      </c>
      <c r="F143" s="45">
        <v>1.4</v>
      </c>
      <c r="G143" s="46"/>
    </row>
    <row r="144" s="3" customFormat="1" customHeight="1" spans="1:7">
      <c r="A144" s="19">
        <f t="shared" si="2"/>
        <v>139</v>
      </c>
      <c r="B144" s="43" t="s">
        <v>521</v>
      </c>
      <c r="C144" s="43" t="s">
        <v>701</v>
      </c>
      <c r="D144" s="44" t="s">
        <v>524</v>
      </c>
      <c r="E144" s="45">
        <v>0.3</v>
      </c>
      <c r="F144" s="45"/>
      <c r="G144" s="46"/>
    </row>
    <row r="145" s="3" customFormat="1" customHeight="1" spans="1:7">
      <c r="A145" s="19">
        <f t="shared" si="2"/>
        <v>140</v>
      </c>
      <c r="B145" s="43" t="s">
        <v>521</v>
      </c>
      <c r="C145" s="43" t="s">
        <v>701</v>
      </c>
      <c r="D145" s="44" t="s">
        <v>1933</v>
      </c>
      <c r="E145" s="45">
        <v>3.163506</v>
      </c>
      <c r="F145" s="45"/>
      <c r="G145" s="46"/>
    </row>
    <row r="146" s="3" customFormat="1" customHeight="1" spans="1:7">
      <c r="A146" s="19">
        <f t="shared" si="2"/>
        <v>141</v>
      </c>
      <c r="B146" s="43" t="s">
        <v>521</v>
      </c>
      <c r="C146" s="43" t="s">
        <v>701</v>
      </c>
      <c r="D146" s="44" t="s">
        <v>1934</v>
      </c>
      <c r="E146" s="45">
        <v>575</v>
      </c>
      <c r="F146" s="45">
        <v>570.04</v>
      </c>
      <c r="G146" s="46"/>
    </row>
    <row r="147" s="3" customFormat="1" customHeight="1" spans="1:7">
      <c r="A147" s="19">
        <f t="shared" si="2"/>
        <v>142</v>
      </c>
      <c r="B147" s="43" t="s">
        <v>521</v>
      </c>
      <c r="C147" s="43" t="s">
        <v>701</v>
      </c>
      <c r="D147" s="44" t="s">
        <v>1935</v>
      </c>
      <c r="E147" s="45">
        <v>15.03</v>
      </c>
      <c r="F147" s="45"/>
      <c r="G147" s="46"/>
    </row>
    <row r="148" s="3" customFormat="1" customHeight="1" spans="1:7">
      <c r="A148" s="19">
        <f t="shared" si="2"/>
        <v>143</v>
      </c>
      <c r="B148" s="43" t="s">
        <v>521</v>
      </c>
      <c r="C148" s="43" t="s">
        <v>701</v>
      </c>
      <c r="D148" s="44" t="s">
        <v>1936</v>
      </c>
      <c r="E148" s="45">
        <v>1.80008</v>
      </c>
      <c r="F148" s="45"/>
      <c r="G148" s="46"/>
    </row>
    <row r="149" s="3" customFormat="1" customHeight="1" spans="1:7">
      <c r="A149" s="19">
        <f t="shared" si="2"/>
        <v>144</v>
      </c>
      <c r="B149" s="43" t="s">
        <v>521</v>
      </c>
      <c r="C149" s="43" t="s">
        <v>701</v>
      </c>
      <c r="D149" s="44" t="s">
        <v>1937</v>
      </c>
      <c r="E149" s="45">
        <v>48.1</v>
      </c>
      <c r="F149" s="45">
        <v>48.1</v>
      </c>
      <c r="G149" s="46"/>
    </row>
    <row r="150" s="3" customFormat="1" customHeight="1" spans="1:7">
      <c r="A150" s="19">
        <f t="shared" si="2"/>
        <v>145</v>
      </c>
      <c r="B150" s="43" t="s">
        <v>521</v>
      </c>
      <c r="C150" s="43" t="s">
        <v>1105</v>
      </c>
      <c r="D150" s="44" t="s">
        <v>1938</v>
      </c>
      <c r="E150" s="45">
        <v>73.091959</v>
      </c>
      <c r="F150" s="45">
        <v>64.3</v>
      </c>
      <c r="G150" s="46"/>
    </row>
    <row r="151" s="3" customFormat="1" customHeight="1" spans="1:7">
      <c r="A151" s="19">
        <f t="shared" si="2"/>
        <v>146</v>
      </c>
      <c r="B151" s="43" t="s">
        <v>521</v>
      </c>
      <c r="C151" s="43" t="s">
        <v>1105</v>
      </c>
      <c r="D151" s="44" t="s">
        <v>1939</v>
      </c>
      <c r="E151" s="45">
        <v>32</v>
      </c>
      <c r="F151" s="45">
        <v>32</v>
      </c>
      <c r="G151" s="46"/>
    </row>
    <row r="152" s="3" customFormat="1" customHeight="1" spans="1:7">
      <c r="A152" s="19">
        <f t="shared" si="2"/>
        <v>147</v>
      </c>
      <c r="B152" s="43" t="s">
        <v>521</v>
      </c>
      <c r="C152" s="20" t="s">
        <v>729</v>
      </c>
      <c r="D152" s="44" t="s">
        <v>1940</v>
      </c>
      <c r="E152" s="45">
        <v>3.8632</v>
      </c>
      <c r="F152" s="45"/>
      <c r="G152" s="46"/>
    </row>
    <row r="153" s="3" customFormat="1" customHeight="1" spans="1:7">
      <c r="A153" s="19">
        <f t="shared" si="2"/>
        <v>148</v>
      </c>
      <c r="B153" s="43" t="s">
        <v>521</v>
      </c>
      <c r="C153" s="43" t="s">
        <v>1941</v>
      </c>
      <c r="D153" s="44" t="s">
        <v>1942</v>
      </c>
      <c r="E153" s="45">
        <v>0.164</v>
      </c>
      <c r="F153" s="45"/>
      <c r="G153" s="46"/>
    </row>
    <row r="154" s="3" customFormat="1" customHeight="1" spans="1:7">
      <c r="A154" s="19">
        <f t="shared" si="2"/>
        <v>149</v>
      </c>
      <c r="B154" s="43" t="s">
        <v>521</v>
      </c>
      <c r="C154" s="43" t="s">
        <v>1941</v>
      </c>
      <c r="D154" s="44" t="s">
        <v>1037</v>
      </c>
      <c r="E154" s="45">
        <v>0.225549</v>
      </c>
      <c r="F154" s="45"/>
      <c r="G154" s="46"/>
    </row>
    <row r="155" s="3" customFormat="1" customHeight="1" spans="1:7">
      <c r="A155" s="19">
        <f t="shared" si="2"/>
        <v>150</v>
      </c>
      <c r="B155" s="43" t="s">
        <v>521</v>
      </c>
      <c r="C155" s="43" t="s">
        <v>1941</v>
      </c>
      <c r="D155" s="44" t="s">
        <v>1940</v>
      </c>
      <c r="E155" s="45">
        <v>7.62</v>
      </c>
      <c r="F155" s="45">
        <v>7.62</v>
      </c>
      <c r="G155" s="46"/>
    </row>
    <row r="156" s="3" customFormat="1" customHeight="1" spans="1:7">
      <c r="A156" s="19">
        <f t="shared" si="2"/>
        <v>151</v>
      </c>
      <c r="B156" s="43" t="s">
        <v>521</v>
      </c>
      <c r="C156" s="43" t="s">
        <v>1941</v>
      </c>
      <c r="D156" s="44" t="s">
        <v>1943</v>
      </c>
      <c r="E156" s="45">
        <v>10.368</v>
      </c>
      <c r="F156" s="45">
        <v>5.82</v>
      </c>
      <c r="G156" s="46"/>
    </row>
    <row r="157" s="3" customFormat="1" customHeight="1" spans="1:7">
      <c r="A157" s="19">
        <f t="shared" si="2"/>
        <v>152</v>
      </c>
      <c r="B157" s="43" t="s">
        <v>521</v>
      </c>
      <c r="C157" s="43" t="s">
        <v>1941</v>
      </c>
      <c r="D157" s="44" t="s">
        <v>1035</v>
      </c>
      <c r="E157" s="45">
        <v>0.139837</v>
      </c>
      <c r="F157" s="45"/>
      <c r="G157" s="46"/>
    </row>
    <row r="158" s="3" customFormat="1" customHeight="1" spans="1:7">
      <c r="A158" s="19">
        <f t="shared" si="2"/>
        <v>153</v>
      </c>
      <c r="B158" s="43" t="s">
        <v>521</v>
      </c>
      <c r="C158" s="43" t="s">
        <v>1941</v>
      </c>
      <c r="D158" s="44" t="s">
        <v>1944</v>
      </c>
      <c r="E158" s="45">
        <v>38.28</v>
      </c>
      <c r="F158" s="45">
        <v>38.28</v>
      </c>
      <c r="G158" s="46"/>
    </row>
    <row r="159" s="3" customFormat="1" customHeight="1" spans="1:7">
      <c r="A159" s="19">
        <f t="shared" si="2"/>
        <v>154</v>
      </c>
      <c r="B159" s="43" t="s">
        <v>521</v>
      </c>
      <c r="C159" s="43" t="s">
        <v>1941</v>
      </c>
      <c r="D159" s="44" t="s">
        <v>1040</v>
      </c>
      <c r="E159" s="45">
        <v>0.69141</v>
      </c>
      <c r="F159" s="45"/>
      <c r="G159" s="46"/>
    </row>
    <row r="160" s="3" customFormat="1" customHeight="1" spans="1:7">
      <c r="A160" s="19">
        <f t="shared" si="2"/>
        <v>155</v>
      </c>
      <c r="B160" s="43" t="s">
        <v>521</v>
      </c>
      <c r="C160" s="43" t="s">
        <v>1945</v>
      </c>
      <c r="D160" s="44" t="s">
        <v>1944</v>
      </c>
      <c r="E160" s="45">
        <v>5.5</v>
      </c>
      <c r="F160" s="45">
        <v>5.5</v>
      </c>
      <c r="G160" s="46"/>
    </row>
    <row r="161" s="3" customFormat="1" customHeight="1" spans="1:7">
      <c r="A161" s="19">
        <f t="shared" si="2"/>
        <v>156</v>
      </c>
      <c r="B161" s="43" t="s">
        <v>521</v>
      </c>
      <c r="C161" s="43" t="s">
        <v>1946</v>
      </c>
      <c r="D161" s="44" t="s">
        <v>1944</v>
      </c>
      <c r="E161" s="45">
        <v>0.312</v>
      </c>
      <c r="F161" s="45">
        <v>0.31</v>
      </c>
      <c r="G161" s="46"/>
    </row>
  </sheetData>
  <autoFilter xmlns:etc="http://www.wps.cn/officeDocument/2017/etCustomData" ref="A5:G161" etc:filterBottomFollowUsedRange="0">
    <extLst/>
  </autoFilter>
  <mergeCells count="2">
    <mergeCell ref="A2:G2"/>
    <mergeCell ref="A5:D5"/>
  </mergeCells>
  <printOptions horizontalCentered="1"/>
  <pageMargins left="0.786805555555556" right="0.786805555555556" top="0.393055555555556" bottom="0.393055555555556" header="0.196527777777778" footer="0.196527777777778"/>
  <pageSetup paperSize="9" scale="69" fitToHeight="0" orientation="landscape" horizontalDpi="600"/>
  <headerFooter alignWithMargins="0" scaleWithDoc="0">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65534"/>
  <sheetViews>
    <sheetView tabSelected="1" view="pageBreakPreview" zoomScaleNormal="100" topLeftCell="A276" workbookViewId="0">
      <selection activeCell="D283" sqref="D283"/>
    </sheetView>
  </sheetViews>
  <sheetFormatPr defaultColWidth="9" defaultRowHeight="30" customHeight="1"/>
  <cols>
    <col min="1" max="2" width="10.625" style="1" customWidth="1"/>
    <col min="3" max="3" width="25.625" style="1" customWidth="1"/>
    <col min="4" max="4" width="60.625" style="5" customWidth="1"/>
    <col min="5" max="5" width="15.625" style="6" customWidth="1"/>
    <col min="6" max="6" width="15.625" style="1" customWidth="1"/>
    <col min="7" max="7" width="50.625" style="1" customWidth="1"/>
    <col min="8" max="249" width="9" style="1"/>
    <col min="250" max="16384" width="9" style="4"/>
  </cols>
  <sheetData>
    <row r="1" ht="20" customHeight="1" spans="1:1">
      <c r="A1" s="7" t="s">
        <v>1947</v>
      </c>
    </row>
    <row r="2" s="1" customFormat="1" customHeight="1" spans="1:255">
      <c r="A2" s="8" t="s">
        <v>1948</v>
      </c>
      <c r="B2" s="8"/>
      <c r="C2" s="8"/>
      <c r="D2" s="8"/>
      <c r="E2" s="8"/>
      <c r="F2" s="8"/>
      <c r="G2" s="8"/>
      <c r="IP2" s="4"/>
      <c r="IQ2" s="4"/>
      <c r="IR2" s="4"/>
      <c r="IS2" s="4"/>
      <c r="IT2" s="4"/>
      <c r="IU2" s="4"/>
    </row>
    <row r="3" s="1" customFormat="1" ht="20" customHeight="1" spans="1:255">
      <c r="A3" s="4"/>
      <c r="B3" s="4"/>
      <c r="C3" s="4"/>
      <c r="D3" s="9"/>
      <c r="E3" s="10"/>
      <c r="G3" s="11" t="s">
        <v>5</v>
      </c>
      <c r="IP3" s="4"/>
      <c r="IQ3" s="4"/>
      <c r="IR3" s="4"/>
      <c r="IS3" s="4"/>
      <c r="IT3" s="4"/>
      <c r="IU3" s="4"/>
    </row>
    <row r="4" s="1" customFormat="1" customHeight="1" spans="1:255">
      <c r="A4" s="12" t="s">
        <v>503</v>
      </c>
      <c r="B4" s="13" t="s">
        <v>504</v>
      </c>
      <c r="C4" s="13" t="s">
        <v>505</v>
      </c>
      <c r="D4" s="13" t="s">
        <v>506</v>
      </c>
      <c r="E4" s="14" t="s">
        <v>1949</v>
      </c>
      <c r="F4" s="13" t="s">
        <v>1950</v>
      </c>
      <c r="G4" s="12" t="s">
        <v>11</v>
      </c>
      <c r="IP4" s="4"/>
      <c r="IQ4" s="4"/>
      <c r="IR4" s="4"/>
      <c r="IS4" s="4"/>
      <c r="IT4" s="4"/>
      <c r="IU4" s="4"/>
    </row>
    <row r="5" s="2" customFormat="1" customHeight="1" spans="1:255">
      <c r="A5" s="15" t="s">
        <v>67</v>
      </c>
      <c r="B5" s="15"/>
      <c r="C5" s="15"/>
      <c r="D5" s="15"/>
      <c r="E5" s="15">
        <f>E6+E7</f>
        <v>25890.204411</v>
      </c>
      <c r="F5" s="15">
        <f>F6+F7</f>
        <v>10143.704813</v>
      </c>
      <c r="G5" s="16"/>
      <c r="IP5" s="4"/>
      <c r="IQ5" s="4"/>
      <c r="IR5" s="4"/>
      <c r="IS5" s="4"/>
      <c r="IT5" s="4"/>
      <c r="IU5" s="4"/>
    </row>
    <row r="6" s="2" customFormat="1" customHeight="1" spans="1:255">
      <c r="A6" s="17" t="s">
        <v>512</v>
      </c>
      <c r="B6" s="17"/>
      <c r="C6" s="17"/>
      <c r="D6" s="17"/>
      <c r="E6" s="17">
        <v>393.37</v>
      </c>
      <c r="F6" s="17">
        <v>393</v>
      </c>
      <c r="G6" s="18"/>
      <c r="IP6" s="4"/>
      <c r="IQ6" s="4"/>
      <c r="IR6" s="4"/>
      <c r="IS6" s="4"/>
      <c r="IT6" s="4"/>
      <c r="IU6" s="4"/>
    </row>
    <row r="7" s="2" customFormat="1" customHeight="1" spans="1:255">
      <c r="A7" s="17" t="s">
        <v>1951</v>
      </c>
      <c r="B7" s="17"/>
      <c r="C7" s="17"/>
      <c r="D7" s="17"/>
      <c r="E7" s="17">
        <f>SUM(E8:E278)</f>
        <v>25496.834411</v>
      </c>
      <c r="F7" s="17">
        <f>SUM(F8:F278)</f>
        <v>9750.704813</v>
      </c>
      <c r="G7" s="18"/>
      <c r="IP7" s="4"/>
      <c r="IQ7" s="4"/>
      <c r="IR7" s="4"/>
      <c r="IS7" s="4"/>
      <c r="IT7" s="4"/>
      <c r="IU7" s="4"/>
    </row>
    <row r="8" s="3" customFormat="1" customHeight="1" spans="1:255">
      <c r="A8" s="19">
        <v>1</v>
      </c>
      <c r="B8" s="19" t="s">
        <v>516</v>
      </c>
      <c r="C8" s="20" t="s">
        <v>517</v>
      </c>
      <c r="D8" s="21" t="s">
        <v>519</v>
      </c>
      <c r="E8" s="22">
        <v>75</v>
      </c>
      <c r="F8" s="23">
        <v>75</v>
      </c>
      <c r="G8" s="24"/>
      <c r="IP8" s="4"/>
      <c r="IQ8" s="4"/>
      <c r="IR8" s="4"/>
      <c r="IS8" s="4"/>
      <c r="IT8" s="4"/>
      <c r="IU8" s="4"/>
    </row>
    <row r="9" s="3" customFormat="1" customHeight="1" spans="1:255">
      <c r="A9" s="19">
        <v>2</v>
      </c>
      <c r="B9" s="19" t="s">
        <v>521</v>
      </c>
      <c r="C9" s="20" t="s">
        <v>517</v>
      </c>
      <c r="D9" s="21" t="s">
        <v>522</v>
      </c>
      <c r="E9" s="22">
        <v>10.97</v>
      </c>
      <c r="F9" s="22">
        <v>10.97</v>
      </c>
      <c r="G9" s="24"/>
      <c r="IP9" s="4"/>
      <c r="IQ9" s="4"/>
      <c r="IR9" s="4"/>
      <c r="IS9" s="4"/>
      <c r="IT9" s="4"/>
      <c r="IU9" s="4"/>
    </row>
    <row r="10" s="3" customFormat="1" customHeight="1" spans="1:255">
      <c r="A10" s="19">
        <v>3</v>
      </c>
      <c r="B10" s="19" t="s">
        <v>521</v>
      </c>
      <c r="C10" s="20" t="s">
        <v>517</v>
      </c>
      <c r="D10" s="21" t="s">
        <v>523</v>
      </c>
      <c r="E10" s="22">
        <v>57.3756</v>
      </c>
      <c r="F10" s="22">
        <v>57.3756</v>
      </c>
      <c r="G10" s="24"/>
      <c r="IP10" s="4"/>
      <c r="IQ10" s="4"/>
      <c r="IR10" s="4"/>
      <c r="IS10" s="4"/>
      <c r="IT10" s="4"/>
      <c r="IU10" s="4"/>
    </row>
    <row r="11" s="3" customFormat="1" customHeight="1" spans="1:255">
      <c r="A11" s="19">
        <v>4</v>
      </c>
      <c r="B11" s="19" t="s">
        <v>521</v>
      </c>
      <c r="C11" s="20" t="s">
        <v>517</v>
      </c>
      <c r="D11" s="21" t="s">
        <v>524</v>
      </c>
      <c r="E11" s="22">
        <v>96</v>
      </c>
      <c r="F11" s="23"/>
      <c r="G11" s="24"/>
      <c r="IP11" s="4"/>
      <c r="IQ11" s="4"/>
      <c r="IR11" s="4"/>
      <c r="IS11" s="4"/>
      <c r="IT11" s="4"/>
      <c r="IU11" s="4"/>
    </row>
    <row r="12" s="3" customFormat="1" customHeight="1" spans="1:255">
      <c r="A12" s="19">
        <v>5</v>
      </c>
      <c r="B12" s="19" t="s">
        <v>516</v>
      </c>
      <c r="C12" s="20" t="s">
        <v>517</v>
      </c>
      <c r="D12" s="21" t="s">
        <v>525</v>
      </c>
      <c r="E12" s="22">
        <v>40</v>
      </c>
      <c r="F12" s="23">
        <v>40</v>
      </c>
      <c r="G12" s="24"/>
      <c r="IP12" s="4"/>
      <c r="IQ12" s="4"/>
      <c r="IR12" s="4"/>
      <c r="IS12" s="4"/>
      <c r="IT12" s="4"/>
      <c r="IU12" s="4"/>
    </row>
    <row r="13" s="3" customFormat="1" customHeight="1" spans="1:255">
      <c r="A13" s="19">
        <v>6</v>
      </c>
      <c r="B13" s="19" t="s">
        <v>516</v>
      </c>
      <c r="C13" s="20" t="s">
        <v>517</v>
      </c>
      <c r="D13" s="21" t="s">
        <v>527</v>
      </c>
      <c r="E13" s="22">
        <v>245.928</v>
      </c>
      <c r="F13" s="23">
        <v>245.93</v>
      </c>
      <c r="G13" s="24"/>
      <c r="IP13" s="4"/>
      <c r="IQ13" s="4"/>
      <c r="IR13" s="4"/>
      <c r="IS13" s="4"/>
      <c r="IT13" s="4"/>
      <c r="IU13" s="4"/>
    </row>
    <row r="14" s="3" customFormat="1" customHeight="1" spans="1:255">
      <c r="A14" s="19">
        <v>7</v>
      </c>
      <c r="B14" s="19" t="s">
        <v>516</v>
      </c>
      <c r="C14" s="20" t="s">
        <v>517</v>
      </c>
      <c r="D14" s="21" t="s">
        <v>529</v>
      </c>
      <c r="E14" s="22">
        <v>10.8</v>
      </c>
      <c r="F14" s="23">
        <v>10.8</v>
      </c>
      <c r="G14" s="24"/>
      <c r="IP14" s="4"/>
      <c r="IQ14" s="4"/>
      <c r="IR14" s="4"/>
      <c r="IS14" s="4"/>
      <c r="IT14" s="4"/>
      <c r="IU14" s="4"/>
    </row>
    <row r="15" s="3" customFormat="1" customHeight="1" spans="1:255">
      <c r="A15" s="19">
        <v>8</v>
      </c>
      <c r="B15" s="19" t="s">
        <v>516</v>
      </c>
      <c r="C15" s="20" t="s">
        <v>517</v>
      </c>
      <c r="D15" s="21" t="s">
        <v>530</v>
      </c>
      <c r="E15" s="22">
        <v>176.4</v>
      </c>
      <c r="F15" s="23">
        <v>176.4</v>
      </c>
      <c r="G15" s="24"/>
      <c r="IP15" s="4"/>
      <c r="IQ15" s="4"/>
      <c r="IR15" s="4"/>
      <c r="IS15" s="4"/>
      <c r="IT15" s="4"/>
      <c r="IU15" s="4"/>
    </row>
    <row r="16" s="3" customFormat="1" customHeight="1" spans="1:255">
      <c r="A16" s="19">
        <v>9</v>
      </c>
      <c r="B16" s="19" t="s">
        <v>516</v>
      </c>
      <c r="C16" s="20" t="s">
        <v>517</v>
      </c>
      <c r="D16" s="21" t="s">
        <v>533</v>
      </c>
      <c r="E16" s="22">
        <v>13.1</v>
      </c>
      <c r="F16" s="23">
        <v>13.1</v>
      </c>
      <c r="G16" s="24"/>
      <c r="IP16" s="4"/>
      <c r="IQ16" s="4"/>
      <c r="IR16" s="4"/>
      <c r="IS16" s="4"/>
      <c r="IT16" s="4"/>
      <c r="IU16" s="4"/>
    </row>
    <row r="17" s="3" customFormat="1" customHeight="1" spans="1:255">
      <c r="A17" s="19">
        <v>10</v>
      </c>
      <c r="B17" s="19" t="s">
        <v>516</v>
      </c>
      <c r="C17" s="20" t="s">
        <v>517</v>
      </c>
      <c r="D17" s="21" t="s">
        <v>534</v>
      </c>
      <c r="E17" s="22">
        <v>14</v>
      </c>
      <c r="F17" s="23">
        <v>14</v>
      </c>
      <c r="G17" s="24"/>
      <c r="IP17" s="4"/>
      <c r="IQ17" s="4"/>
      <c r="IR17" s="4"/>
      <c r="IS17" s="4"/>
      <c r="IT17" s="4"/>
      <c r="IU17" s="4"/>
    </row>
    <row r="18" s="3" customFormat="1" customHeight="1" spans="1:255">
      <c r="A18" s="19">
        <v>11</v>
      </c>
      <c r="B18" s="19" t="s">
        <v>516</v>
      </c>
      <c r="C18" s="20" t="s">
        <v>517</v>
      </c>
      <c r="D18" s="21" t="s">
        <v>535</v>
      </c>
      <c r="E18" s="22">
        <v>465.02</v>
      </c>
      <c r="F18" s="23"/>
      <c r="G18" s="24"/>
      <c r="IP18" s="4"/>
      <c r="IQ18" s="4"/>
      <c r="IR18" s="4"/>
      <c r="IS18" s="4"/>
      <c r="IT18" s="4"/>
      <c r="IU18" s="4"/>
    </row>
    <row r="19" s="3" customFormat="1" customHeight="1" spans="1:255">
      <c r="A19" s="19">
        <v>12</v>
      </c>
      <c r="B19" s="19" t="s">
        <v>516</v>
      </c>
      <c r="C19" s="20" t="s">
        <v>517</v>
      </c>
      <c r="D19" s="21" t="s">
        <v>538</v>
      </c>
      <c r="E19" s="22">
        <v>169</v>
      </c>
      <c r="F19" s="23">
        <v>169</v>
      </c>
      <c r="G19" s="24"/>
      <c r="IP19" s="4"/>
      <c r="IQ19" s="4"/>
      <c r="IR19" s="4"/>
      <c r="IS19" s="4"/>
      <c r="IT19" s="4"/>
      <c r="IU19" s="4"/>
    </row>
    <row r="20" s="3" customFormat="1" customHeight="1" spans="1:255">
      <c r="A20" s="19">
        <v>13</v>
      </c>
      <c r="B20" s="19" t="s">
        <v>540</v>
      </c>
      <c r="C20" s="20" t="s">
        <v>543</v>
      </c>
      <c r="D20" s="21" t="s">
        <v>544</v>
      </c>
      <c r="E20" s="22">
        <v>10</v>
      </c>
      <c r="F20" s="23">
        <v>10</v>
      </c>
      <c r="G20" s="24"/>
      <c r="IP20" s="4"/>
      <c r="IQ20" s="4"/>
      <c r="IR20" s="4"/>
      <c r="IS20" s="4"/>
      <c r="IT20" s="4"/>
      <c r="IU20" s="4"/>
    </row>
    <row r="21" s="3" customFormat="1" customHeight="1" spans="1:255">
      <c r="A21" s="19">
        <v>14</v>
      </c>
      <c r="B21" s="19" t="s">
        <v>540</v>
      </c>
      <c r="C21" s="20" t="s">
        <v>543</v>
      </c>
      <c r="D21" s="21" t="s">
        <v>558</v>
      </c>
      <c r="E21" s="22">
        <v>180</v>
      </c>
      <c r="F21" s="23">
        <v>180</v>
      </c>
      <c r="G21" s="25"/>
      <c r="IP21" s="4"/>
      <c r="IQ21" s="4"/>
      <c r="IR21" s="4"/>
      <c r="IS21" s="4"/>
      <c r="IT21" s="4"/>
      <c r="IU21" s="4"/>
    </row>
    <row r="22" s="3" customFormat="1" customHeight="1" spans="1:255">
      <c r="A22" s="19">
        <v>15</v>
      </c>
      <c r="B22" s="19" t="s">
        <v>516</v>
      </c>
      <c r="C22" s="20" t="s">
        <v>543</v>
      </c>
      <c r="D22" s="21" t="s">
        <v>561</v>
      </c>
      <c r="E22" s="22">
        <v>120</v>
      </c>
      <c r="F22" s="23">
        <v>60</v>
      </c>
      <c r="G22" s="24"/>
      <c r="IP22" s="4"/>
      <c r="IQ22" s="4"/>
      <c r="IR22" s="4"/>
      <c r="IS22" s="4"/>
      <c r="IT22" s="4"/>
      <c r="IU22" s="4"/>
    </row>
    <row r="23" s="3" customFormat="1" customHeight="1" spans="1:255">
      <c r="A23" s="19">
        <v>16</v>
      </c>
      <c r="B23" s="19" t="s">
        <v>540</v>
      </c>
      <c r="C23" s="20" t="s">
        <v>541</v>
      </c>
      <c r="D23" s="21" t="s">
        <v>542</v>
      </c>
      <c r="E23" s="22">
        <v>20</v>
      </c>
      <c r="F23" s="23"/>
      <c r="G23" s="24"/>
      <c r="IP23" s="4"/>
      <c r="IQ23" s="4"/>
      <c r="IR23" s="4"/>
      <c r="IS23" s="4"/>
      <c r="IT23" s="4"/>
      <c r="IU23" s="4"/>
    </row>
    <row r="24" s="3" customFormat="1" customHeight="1" spans="1:255">
      <c r="A24" s="19">
        <v>17</v>
      </c>
      <c r="B24" s="19" t="s">
        <v>540</v>
      </c>
      <c r="C24" s="20" t="s">
        <v>541</v>
      </c>
      <c r="D24" s="21" t="s">
        <v>550</v>
      </c>
      <c r="E24" s="22">
        <v>75.621414</v>
      </c>
      <c r="F24" s="23"/>
      <c r="G24" s="25" t="s">
        <v>1952</v>
      </c>
      <c r="IP24" s="4"/>
      <c r="IQ24" s="4"/>
      <c r="IR24" s="4"/>
      <c r="IS24" s="4"/>
      <c r="IT24" s="4"/>
      <c r="IU24" s="4"/>
    </row>
    <row r="25" s="3" customFormat="1" customHeight="1" spans="1:255">
      <c r="A25" s="19">
        <v>18</v>
      </c>
      <c r="B25" s="19" t="s">
        <v>540</v>
      </c>
      <c r="C25" s="20" t="s">
        <v>541</v>
      </c>
      <c r="D25" s="21" t="s">
        <v>551</v>
      </c>
      <c r="E25" s="22">
        <v>244.92</v>
      </c>
      <c r="F25" s="23"/>
      <c r="G25" s="25" t="s">
        <v>1952</v>
      </c>
      <c r="IP25" s="4"/>
      <c r="IQ25" s="4"/>
      <c r="IR25" s="4"/>
      <c r="IS25" s="4"/>
      <c r="IT25" s="4"/>
      <c r="IU25" s="4"/>
    </row>
    <row r="26" s="3" customFormat="1" customHeight="1" spans="1:255">
      <c r="A26" s="19">
        <v>19</v>
      </c>
      <c r="B26" s="19" t="s">
        <v>516</v>
      </c>
      <c r="C26" s="20" t="s">
        <v>541</v>
      </c>
      <c r="D26" s="21" t="s">
        <v>554</v>
      </c>
      <c r="E26" s="22">
        <v>10</v>
      </c>
      <c r="F26" s="23"/>
      <c r="G26" s="25" t="s">
        <v>1952</v>
      </c>
      <c r="IP26" s="4"/>
      <c r="IQ26" s="4"/>
      <c r="IR26" s="4"/>
      <c r="IS26" s="4"/>
      <c r="IT26" s="4"/>
      <c r="IU26" s="4"/>
    </row>
    <row r="27" s="3" customFormat="1" customHeight="1" spans="1:255">
      <c r="A27" s="19">
        <v>20</v>
      </c>
      <c r="B27" s="19" t="s">
        <v>516</v>
      </c>
      <c r="C27" s="20" t="s">
        <v>547</v>
      </c>
      <c r="D27" s="21" t="s">
        <v>548</v>
      </c>
      <c r="E27" s="22">
        <v>10</v>
      </c>
      <c r="F27" s="23"/>
      <c r="G27" s="24"/>
      <c r="IP27" s="4"/>
      <c r="IQ27" s="4"/>
      <c r="IR27" s="4"/>
      <c r="IS27" s="4"/>
      <c r="IT27" s="4"/>
      <c r="IU27" s="4"/>
    </row>
    <row r="28" s="3" customFormat="1" customHeight="1" spans="1:255">
      <c r="A28" s="19">
        <v>21</v>
      </c>
      <c r="B28" s="19" t="s">
        <v>516</v>
      </c>
      <c r="C28" s="20" t="s">
        <v>547</v>
      </c>
      <c r="D28" s="21" t="s">
        <v>549</v>
      </c>
      <c r="E28" s="22">
        <v>15</v>
      </c>
      <c r="F28" s="23">
        <v>15</v>
      </c>
      <c r="G28" s="24"/>
      <c r="IP28" s="4"/>
      <c r="IQ28" s="4"/>
      <c r="IR28" s="4"/>
      <c r="IS28" s="4"/>
      <c r="IT28" s="4"/>
      <c r="IU28" s="4"/>
    </row>
    <row r="29" s="3" customFormat="1" customHeight="1" spans="1:255">
      <c r="A29" s="19">
        <v>22</v>
      </c>
      <c r="B29" s="19" t="s">
        <v>516</v>
      </c>
      <c r="C29" s="20" t="s">
        <v>555</v>
      </c>
      <c r="D29" s="21" t="s">
        <v>556</v>
      </c>
      <c r="E29" s="22">
        <v>45</v>
      </c>
      <c r="F29" s="23">
        <v>45</v>
      </c>
      <c r="G29" s="24"/>
      <c r="IP29" s="4"/>
      <c r="IQ29" s="4"/>
      <c r="IR29" s="4"/>
      <c r="IS29" s="4"/>
      <c r="IT29" s="4"/>
      <c r="IU29" s="4"/>
    </row>
    <row r="30" s="3" customFormat="1" customHeight="1" spans="1:255">
      <c r="A30" s="19">
        <v>23</v>
      </c>
      <c r="B30" s="19" t="s">
        <v>540</v>
      </c>
      <c r="C30" s="20" t="s">
        <v>555</v>
      </c>
      <c r="D30" s="21" t="s">
        <v>557</v>
      </c>
      <c r="E30" s="22">
        <v>194.009</v>
      </c>
      <c r="F30" s="23">
        <v>80</v>
      </c>
      <c r="G30" s="25" t="s">
        <v>1953</v>
      </c>
      <c r="IP30" s="4"/>
      <c r="IQ30" s="4"/>
      <c r="IR30" s="4"/>
      <c r="IS30" s="4"/>
      <c r="IT30" s="4"/>
      <c r="IU30" s="4"/>
    </row>
    <row r="31" s="3" customFormat="1" customHeight="1" spans="1:255">
      <c r="A31" s="19">
        <v>24</v>
      </c>
      <c r="B31" s="19" t="s">
        <v>540</v>
      </c>
      <c r="C31" s="20" t="s">
        <v>559</v>
      </c>
      <c r="D31" s="21" t="s">
        <v>560</v>
      </c>
      <c r="E31" s="22">
        <v>89.687327</v>
      </c>
      <c r="F31" s="23"/>
      <c r="G31" s="25" t="s">
        <v>1952</v>
      </c>
      <c r="IP31" s="4"/>
      <c r="IQ31" s="4"/>
      <c r="IR31" s="4"/>
      <c r="IS31" s="4"/>
      <c r="IT31" s="4"/>
      <c r="IU31" s="4"/>
    </row>
    <row r="32" s="3" customFormat="1" customHeight="1" spans="1:255">
      <c r="A32" s="19">
        <v>25</v>
      </c>
      <c r="B32" s="19" t="s">
        <v>563</v>
      </c>
      <c r="C32" s="20" t="s">
        <v>564</v>
      </c>
      <c r="D32" s="21" t="s">
        <v>565</v>
      </c>
      <c r="E32" s="22">
        <v>14</v>
      </c>
      <c r="F32" s="23"/>
      <c r="G32" s="24"/>
      <c r="IP32" s="4"/>
      <c r="IQ32" s="4"/>
      <c r="IR32" s="4"/>
      <c r="IS32" s="4"/>
      <c r="IT32" s="4"/>
      <c r="IU32" s="4"/>
    </row>
    <row r="33" s="3" customFormat="1" customHeight="1" spans="1:255">
      <c r="A33" s="19">
        <v>26</v>
      </c>
      <c r="B33" s="19" t="s">
        <v>521</v>
      </c>
      <c r="C33" s="20" t="s">
        <v>567</v>
      </c>
      <c r="D33" s="21" t="s">
        <v>568</v>
      </c>
      <c r="E33" s="22">
        <v>3472</v>
      </c>
      <c r="F33" s="23">
        <f>525-41+36</f>
        <v>520</v>
      </c>
      <c r="G33" s="25" t="s">
        <v>1954</v>
      </c>
      <c r="IP33" s="4"/>
      <c r="IQ33" s="4"/>
      <c r="IR33" s="4"/>
      <c r="IS33" s="4"/>
      <c r="IT33" s="4"/>
      <c r="IU33" s="4"/>
    </row>
    <row r="34" s="3" customFormat="1" customHeight="1" spans="1:255">
      <c r="A34" s="19">
        <v>27</v>
      </c>
      <c r="B34" s="19" t="s">
        <v>563</v>
      </c>
      <c r="C34" s="20" t="s">
        <v>570</v>
      </c>
      <c r="D34" s="21" t="s">
        <v>571</v>
      </c>
      <c r="E34" s="22">
        <v>166.91</v>
      </c>
      <c r="F34" s="23">
        <v>166.91</v>
      </c>
      <c r="G34" s="24"/>
      <c r="IP34" s="4"/>
      <c r="IQ34" s="4"/>
      <c r="IR34" s="4"/>
      <c r="IS34" s="4"/>
      <c r="IT34" s="4"/>
      <c r="IU34" s="4"/>
    </row>
    <row r="35" s="3" customFormat="1" customHeight="1" spans="1:255">
      <c r="A35" s="19">
        <v>28</v>
      </c>
      <c r="B35" s="19" t="s">
        <v>572</v>
      </c>
      <c r="C35" s="20" t="s">
        <v>573</v>
      </c>
      <c r="D35" s="21" t="s">
        <v>575</v>
      </c>
      <c r="E35" s="22">
        <v>16.49</v>
      </c>
      <c r="F35" s="23"/>
      <c r="G35" s="24"/>
      <c r="IP35" s="4"/>
      <c r="IQ35" s="4"/>
      <c r="IR35" s="4"/>
      <c r="IS35" s="4"/>
      <c r="IT35" s="4"/>
      <c r="IU35" s="4"/>
    </row>
    <row r="36" s="3" customFormat="1" customHeight="1" spans="1:255">
      <c r="A36" s="19">
        <v>29</v>
      </c>
      <c r="B36" s="19" t="s">
        <v>540</v>
      </c>
      <c r="C36" s="20" t="s">
        <v>573</v>
      </c>
      <c r="D36" s="21" t="s">
        <v>584</v>
      </c>
      <c r="E36" s="22">
        <v>0.1</v>
      </c>
      <c r="F36" s="23">
        <v>0.1</v>
      </c>
      <c r="G36" s="24"/>
      <c r="IP36" s="4"/>
      <c r="IQ36" s="4"/>
      <c r="IR36" s="4"/>
      <c r="IS36" s="4"/>
      <c r="IT36" s="4"/>
      <c r="IU36" s="4"/>
    </row>
    <row r="37" s="3" customFormat="1" customHeight="1" spans="1:255">
      <c r="A37" s="19">
        <v>30</v>
      </c>
      <c r="B37" s="19" t="s">
        <v>540</v>
      </c>
      <c r="C37" s="20" t="s">
        <v>585</v>
      </c>
      <c r="D37" s="21" t="s">
        <v>586</v>
      </c>
      <c r="E37" s="22">
        <v>107.604</v>
      </c>
      <c r="F37" s="23">
        <v>107.6</v>
      </c>
      <c r="G37" s="24"/>
      <c r="IP37" s="4"/>
      <c r="IQ37" s="4"/>
      <c r="IR37" s="4"/>
      <c r="IS37" s="4"/>
      <c r="IT37" s="4"/>
      <c r="IU37" s="4"/>
    </row>
    <row r="38" s="3" customFormat="1" customHeight="1" spans="1:255">
      <c r="A38" s="19">
        <v>31</v>
      </c>
      <c r="B38" s="19" t="s">
        <v>540</v>
      </c>
      <c r="C38" s="20" t="s">
        <v>585</v>
      </c>
      <c r="D38" s="21" t="s">
        <v>587</v>
      </c>
      <c r="E38" s="22">
        <v>25.14</v>
      </c>
      <c r="F38" s="23"/>
      <c r="G38" s="24"/>
      <c r="IP38" s="4"/>
      <c r="IQ38" s="4"/>
      <c r="IR38" s="4"/>
      <c r="IS38" s="4"/>
      <c r="IT38" s="4"/>
      <c r="IU38" s="4"/>
    </row>
    <row r="39" s="3" customFormat="1" customHeight="1" spans="1:255">
      <c r="A39" s="19">
        <v>32</v>
      </c>
      <c r="B39" s="19" t="s">
        <v>563</v>
      </c>
      <c r="C39" s="20" t="s">
        <v>585</v>
      </c>
      <c r="D39" s="21" t="s">
        <v>588</v>
      </c>
      <c r="E39" s="22">
        <v>163.69</v>
      </c>
      <c r="F39" s="23">
        <v>163.69</v>
      </c>
      <c r="G39" s="24"/>
      <c r="IP39" s="4"/>
      <c r="IQ39" s="4"/>
      <c r="IR39" s="4"/>
      <c r="IS39" s="4"/>
      <c r="IT39" s="4"/>
      <c r="IU39" s="4"/>
    </row>
    <row r="40" s="3" customFormat="1" customHeight="1" spans="1:255">
      <c r="A40" s="19">
        <v>33</v>
      </c>
      <c r="B40" s="19" t="s">
        <v>563</v>
      </c>
      <c r="C40" s="20" t="s">
        <v>592</v>
      </c>
      <c r="D40" s="21" t="s">
        <v>593</v>
      </c>
      <c r="E40" s="22">
        <v>15</v>
      </c>
      <c r="F40" s="23">
        <v>10</v>
      </c>
      <c r="G40" s="24"/>
      <c r="IP40" s="4"/>
      <c r="IQ40" s="4"/>
      <c r="IR40" s="4"/>
      <c r="IS40" s="4"/>
      <c r="IT40" s="4"/>
      <c r="IU40" s="4"/>
    </row>
    <row r="41" s="3" customFormat="1" customHeight="1" spans="1:255">
      <c r="A41" s="19">
        <v>34</v>
      </c>
      <c r="B41" s="19" t="s">
        <v>563</v>
      </c>
      <c r="C41" s="20" t="s">
        <v>592</v>
      </c>
      <c r="D41" s="21" t="s">
        <v>597</v>
      </c>
      <c r="E41" s="22">
        <v>19</v>
      </c>
      <c r="F41" s="23">
        <v>10</v>
      </c>
      <c r="G41" s="24"/>
      <c r="IP41" s="4"/>
      <c r="IQ41" s="4"/>
      <c r="IR41" s="4"/>
      <c r="IS41" s="4"/>
      <c r="IT41" s="4"/>
      <c r="IU41" s="4"/>
    </row>
    <row r="42" s="3" customFormat="1" customHeight="1" spans="1:255">
      <c r="A42" s="19">
        <v>35</v>
      </c>
      <c r="B42" s="19" t="s">
        <v>598</v>
      </c>
      <c r="C42" s="20" t="s">
        <v>592</v>
      </c>
      <c r="D42" s="21" t="s">
        <v>599</v>
      </c>
      <c r="E42" s="22">
        <v>25</v>
      </c>
      <c r="F42" s="23">
        <v>25</v>
      </c>
      <c r="G42" s="24"/>
      <c r="IP42" s="4"/>
      <c r="IQ42" s="4"/>
      <c r="IR42" s="4"/>
      <c r="IS42" s="4"/>
      <c r="IT42" s="4"/>
      <c r="IU42" s="4"/>
    </row>
    <row r="43" s="3" customFormat="1" customHeight="1" spans="1:255">
      <c r="A43" s="19">
        <v>36</v>
      </c>
      <c r="B43" s="19" t="s">
        <v>563</v>
      </c>
      <c r="C43" s="20" t="s">
        <v>600</v>
      </c>
      <c r="D43" s="21" t="s">
        <v>606</v>
      </c>
      <c r="E43" s="22">
        <v>11.85</v>
      </c>
      <c r="F43" s="23">
        <v>11.85</v>
      </c>
      <c r="G43" s="24"/>
      <c r="IP43" s="4"/>
      <c r="IQ43" s="4"/>
      <c r="IR43" s="4"/>
      <c r="IS43" s="4"/>
      <c r="IT43" s="4"/>
      <c r="IU43" s="4"/>
    </row>
    <row r="44" s="3" customFormat="1" customHeight="1" spans="1:255">
      <c r="A44" s="19">
        <v>37</v>
      </c>
      <c r="B44" s="19" t="s">
        <v>563</v>
      </c>
      <c r="C44" s="20" t="s">
        <v>612</v>
      </c>
      <c r="D44" s="21" t="s">
        <v>616</v>
      </c>
      <c r="E44" s="22">
        <v>5</v>
      </c>
      <c r="F44" s="23"/>
      <c r="G44" s="24"/>
      <c r="IP44" s="4"/>
      <c r="IQ44" s="4"/>
      <c r="IR44" s="4"/>
      <c r="IS44" s="4"/>
      <c r="IT44" s="4"/>
      <c r="IU44" s="4"/>
    </row>
    <row r="45" s="3" customFormat="1" customHeight="1" spans="1:255">
      <c r="A45" s="19">
        <v>38</v>
      </c>
      <c r="B45" s="19" t="s">
        <v>563</v>
      </c>
      <c r="C45" s="20" t="s">
        <v>612</v>
      </c>
      <c r="D45" s="21" t="s">
        <v>619</v>
      </c>
      <c r="E45" s="22">
        <v>11</v>
      </c>
      <c r="F45" s="23">
        <v>11</v>
      </c>
      <c r="G45" s="24"/>
      <c r="IP45" s="4"/>
      <c r="IQ45" s="4"/>
      <c r="IR45" s="4"/>
      <c r="IS45" s="4"/>
      <c r="IT45" s="4"/>
      <c r="IU45" s="4"/>
    </row>
    <row r="46" s="3" customFormat="1" customHeight="1" spans="1:255">
      <c r="A46" s="19">
        <v>39</v>
      </c>
      <c r="B46" s="19" t="s">
        <v>563</v>
      </c>
      <c r="C46" s="20" t="s">
        <v>612</v>
      </c>
      <c r="D46" s="21" t="s">
        <v>620</v>
      </c>
      <c r="E46" s="22">
        <v>3.3</v>
      </c>
      <c r="F46" s="23"/>
      <c r="G46" s="24"/>
      <c r="IP46" s="4"/>
      <c r="IQ46" s="4"/>
      <c r="IR46" s="4"/>
      <c r="IS46" s="4"/>
      <c r="IT46" s="4"/>
      <c r="IU46" s="4"/>
    </row>
    <row r="47" s="3" customFormat="1" customHeight="1" spans="1:255">
      <c r="A47" s="19">
        <v>40</v>
      </c>
      <c r="B47" s="19" t="s">
        <v>563</v>
      </c>
      <c r="C47" s="20" t="s">
        <v>612</v>
      </c>
      <c r="D47" s="21" t="s">
        <v>621</v>
      </c>
      <c r="E47" s="22">
        <v>9</v>
      </c>
      <c r="F47" s="23">
        <v>9</v>
      </c>
      <c r="G47" s="24"/>
      <c r="IP47" s="4"/>
      <c r="IQ47" s="4"/>
      <c r="IR47" s="4"/>
      <c r="IS47" s="4"/>
      <c r="IT47" s="4"/>
      <c r="IU47" s="4"/>
    </row>
    <row r="48" s="3" customFormat="1" customHeight="1" spans="1:255">
      <c r="A48" s="19">
        <v>41</v>
      </c>
      <c r="B48" s="19" t="s">
        <v>563</v>
      </c>
      <c r="C48" s="20" t="s">
        <v>612</v>
      </c>
      <c r="D48" s="21" t="s">
        <v>622</v>
      </c>
      <c r="E48" s="22">
        <v>25</v>
      </c>
      <c r="F48" s="23"/>
      <c r="G48" s="24"/>
      <c r="IP48" s="4"/>
      <c r="IQ48" s="4"/>
      <c r="IR48" s="4"/>
      <c r="IS48" s="4"/>
      <c r="IT48" s="4"/>
      <c r="IU48" s="4"/>
    </row>
    <row r="49" s="3" customFormat="1" customHeight="1" spans="1:255">
      <c r="A49" s="19">
        <v>42</v>
      </c>
      <c r="B49" s="19" t="s">
        <v>563</v>
      </c>
      <c r="C49" s="20" t="s">
        <v>612</v>
      </c>
      <c r="D49" s="21" t="s">
        <v>623</v>
      </c>
      <c r="E49" s="22">
        <v>20</v>
      </c>
      <c r="F49" s="23">
        <v>20</v>
      </c>
      <c r="G49" s="24"/>
      <c r="IP49" s="4"/>
      <c r="IQ49" s="4"/>
      <c r="IR49" s="4"/>
      <c r="IS49" s="4"/>
      <c r="IT49" s="4"/>
      <c r="IU49" s="4"/>
    </row>
    <row r="50" s="3" customFormat="1" customHeight="1" spans="1:255">
      <c r="A50" s="19">
        <v>43</v>
      </c>
      <c r="B50" s="19" t="s">
        <v>563</v>
      </c>
      <c r="C50" s="20" t="s">
        <v>612</v>
      </c>
      <c r="D50" s="21" t="s">
        <v>624</v>
      </c>
      <c r="E50" s="22">
        <v>8</v>
      </c>
      <c r="F50" s="23"/>
      <c r="G50" s="24"/>
      <c r="IP50" s="4"/>
      <c r="IQ50" s="4"/>
      <c r="IR50" s="4"/>
      <c r="IS50" s="4"/>
      <c r="IT50" s="4"/>
      <c r="IU50" s="4"/>
    </row>
    <row r="51" s="3" customFormat="1" customHeight="1" spans="1:255">
      <c r="A51" s="19">
        <v>44</v>
      </c>
      <c r="B51" s="19" t="s">
        <v>563</v>
      </c>
      <c r="C51" s="20" t="s">
        <v>612</v>
      </c>
      <c r="D51" s="21" t="s">
        <v>625</v>
      </c>
      <c r="E51" s="22">
        <v>50</v>
      </c>
      <c r="F51" s="23"/>
      <c r="G51" s="24"/>
      <c r="IP51" s="4"/>
      <c r="IQ51" s="4"/>
      <c r="IR51" s="4"/>
      <c r="IS51" s="4"/>
      <c r="IT51" s="4"/>
      <c r="IU51" s="4"/>
    </row>
    <row r="52" s="3" customFormat="1" customHeight="1" spans="1:255">
      <c r="A52" s="19">
        <v>45</v>
      </c>
      <c r="B52" s="19" t="s">
        <v>563</v>
      </c>
      <c r="C52" s="20" t="s">
        <v>612</v>
      </c>
      <c r="D52" s="21" t="s">
        <v>626</v>
      </c>
      <c r="E52" s="22">
        <v>125</v>
      </c>
      <c r="F52" s="23">
        <v>100</v>
      </c>
      <c r="G52" s="24"/>
      <c r="IP52" s="4"/>
      <c r="IQ52" s="4"/>
      <c r="IR52" s="4"/>
      <c r="IS52" s="4"/>
      <c r="IT52" s="4"/>
      <c r="IU52" s="4"/>
    </row>
    <row r="53" s="3" customFormat="1" customHeight="1" spans="1:255">
      <c r="A53" s="19">
        <v>46</v>
      </c>
      <c r="B53" s="19" t="s">
        <v>563</v>
      </c>
      <c r="C53" s="20" t="s">
        <v>612</v>
      </c>
      <c r="D53" s="21" t="s">
        <v>628</v>
      </c>
      <c r="E53" s="22">
        <v>36.6</v>
      </c>
      <c r="F53" s="23"/>
      <c r="G53" s="24"/>
      <c r="IP53" s="4"/>
      <c r="IQ53" s="4"/>
      <c r="IR53" s="4"/>
      <c r="IS53" s="4"/>
      <c r="IT53" s="4"/>
      <c r="IU53" s="4"/>
    </row>
    <row r="54" s="3" customFormat="1" customHeight="1" spans="1:255">
      <c r="A54" s="19">
        <v>47</v>
      </c>
      <c r="B54" s="19" t="s">
        <v>563</v>
      </c>
      <c r="C54" s="20" t="s">
        <v>612</v>
      </c>
      <c r="D54" s="21" t="s">
        <v>630</v>
      </c>
      <c r="E54" s="22">
        <v>40</v>
      </c>
      <c r="F54" s="23"/>
      <c r="G54" s="24"/>
      <c r="IP54" s="4"/>
      <c r="IQ54" s="4"/>
      <c r="IR54" s="4"/>
      <c r="IS54" s="4"/>
      <c r="IT54" s="4"/>
      <c r="IU54" s="4"/>
    </row>
    <row r="55" s="3" customFormat="1" customHeight="1" spans="1:255">
      <c r="A55" s="19">
        <v>48</v>
      </c>
      <c r="B55" s="19" t="s">
        <v>563</v>
      </c>
      <c r="C55" s="20" t="s">
        <v>612</v>
      </c>
      <c r="D55" s="21" t="s">
        <v>631</v>
      </c>
      <c r="E55" s="22">
        <v>7</v>
      </c>
      <c r="F55" s="23"/>
      <c r="G55" s="24"/>
      <c r="IP55" s="4"/>
      <c r="IQ55" s="4"/>
      <c r="IR55" s="4"/>
      <c r="IS55" s="4"/>
      <c r="IT55" s="4"/>
      <c r="IU55" s="4"/>
    </row>
    <row r="56" s="3" customFormat="1" customHeight="1" spans="1:255">
      <c r="A56" s="19">
        <v>49</v>
      </c>
      <c r="B56" s="19" t="s">
        <v>563</v>
      </c>
      <c r="C56" s="20" t="s">
        <v>612</v>
      </c>
      <c r="D56" s="21" t="s">
        <v>632</v>
      </c>
      <c r="E56" s="22">
        <v>6</v>
      </c>
      <c r="F56" s="23"/>
      <c r="G56" s="24"/>
      <c r="IP56" s="4"/>
      <c r="IQ56" s="4"/>
      <c r="IR56" s="4"/>
      <c r="IS56" s="4"/>
      <c r="IT56" s="4"/>
      <c r="IU56" s="4"/>
    </row>
    <row r="57" s="3" customFormat="1" customHeight="1" spans="1:255">
      <c r="A57" s="19">
        <v>50</v>
      </c>
      <c r="B57" s="19" t="s">
        <v>563</v>
      </c>
      <c r="C57" s="20" t="s">
        <v>612</v>
      </c>
      <c r="D57" s="21" t="s">
        <v>633</v>
      </c>
      <c r="E57" s="22">
        <v>8</v>
      </c>
      <c r="F57" s="23"/>
      <c r="G57" s="24"/>
      <c r="IP57" s="4"/>
      <c r="IQ57" s="4"/>
      <c r="IR57" s="4"/>
      <c r="IS57" s="4"/>
      <c r="IT57" s="4"/>
      <c r="IU57" s="4"/>
    </row>
    <row r="58" s="3" customFormat="1" customHeight="1" spans="1:255">
      <c r="A58" s="19">
        <v>51</v>
      </c>
      <c r="B58" s="19" t="s">
        <v>563</v>
      </c>
      <c r="C58" s="20" t="s">
        <v>612</v>
      </c>
      <c r="D58" s="21" t="s">
        <v>635</v>
      </c>
      <c r="E58" s="22">
        <v>44.28</v>
      </c>
      <c r="F58" s="23">
        <v>44.28</v>
      </c>
      <c r="G58" s="24"/>
      <c r="IP58" s="4"/>
      <c r="IQ58" s="4"/>
      <c r="IR58" s="4"/>
      <c r="IS58" s="4"/>
      <c r="IT58" s="4"/>
      <c r="IU58" s="4"/>
    </row>
    <row r="59" s="3" customFormat="1" customHeight="1" spans="1:255">
      <c r="A59" s="19">
        <v>52</v>
      </c>
      <c r="B59" s="19" t="s">
        <v>563</v>
      </c>
      <c r="C59" s="20" t="s">
        <v>612</v>
      </c>
      <c r="D59" s="21" t="s">
        <v>637</v>
      </c>
      <c r="E59" s="22">
        <v>108</v>
      </c>
      <c r="F59" s="23">
        <v>108</v>
      </c>
      <c r="G59" s="24"/>
      <c r="IP59" s="4"/>
      <c r="IQ59" s="4"/>
      <c r="IR59" s="4"/>
      <c r="IS59" s="4"/>
      <c r="IT59" s="4"/>
      <c r="IU59" s="4"/>
    </row>
    <row r="60" s="3" customFormat="1" customHeight="1" spans="1:255">
      <c r="A60" s="19">
        <v>53</v>
      </c>
      <c r="B60" s="19" t="s">
        <v>563</v>
      </c>
      <c r="C60" s="20" t="s">
        <v>612</v>
      </c>
      <c r="D60" s="21" t="s">
        <v>638</v>
      </c>
      <c r="E60" s="22">
        <v>156</v>
      </c>
      <c r="F60" s="23"/>
      <c r="G60" s="24"/>
      <c r="IP60" s="4"/>
      <c r="IQ60" s="4"/>
      <c r="IR60" s="4"/>
      <c r="IS60" s="4"/>
      <c r="IT60" s="4"/>
      <c r="IU60" s="4"/>
    </row>
    <row r="61" s="3" customFormat="1" customHeight="1" spans="1:255">
      <c r="A61" s="19">
        <v>54</v>
      </c>
      <c r="B61" s="19" t="s">
        <v>563</v>
      </c>
      <c r="C61" s="20" t="s">
        <v>612</v>
      </c>
      <c r="D61" s="21" t="s">
        <v>627</v>
      </c>
      <c r="E61" s="22">
        <v>10</v>
      </c>
      <c r="F61" s="23"/>
      <c r="G61" s="24"/>
      <c r="IP61" s="4"/>
      <c r="IQ61" s="4"/>
      <c r="IR61" s="4"/>
      <c r="IS61" s="4"/>
      <c r="IT61" s="4"/>
      <c r="IU61" s="4"/>
    </row>
    <row r="62" s="3" customFormat="1" customHeight="1" spans="1:255">
      <c r="A62" s="19">
        <v>55</v>
      </c>
      <c r="B62" s="19" t="s">
        <v>563</v>
      </c>
      <c r="C62" s="20" t="s">
        <v>612</v>
      </c>
      <c r="D62" s="21" t="s">
        <v>639</v>
      </c>
      <c r="E62" s="22">
        <v>5</v>
      </c>
      <c r="F62" s="23">
        <v>5</v>
      </c>
      <c r="G62" s="24"/>
      <c r="IP62" s="4"/>
      <c r="IQ62" s="4"/>
      <c r="IR62" s="4"/>
      <c r="IS62" s="4"/>
      <c r="IT62" s="4"/>
      <c r="IU62" s="4"/>
    </row>
    <row r="63" s="3" customFormat="1" customHeight="1" spans="1:255">
      <c r="A63" s="19">
        <v>56</v>
      </c>
      <c r="B63" s="19" t="s">
        <v>563</v>
      </c>
      <c r="C63" s="20" t="s">
        <v>612</v>
      </c>
      <c r="D63" s="21" t="s">
        <v>641</v>
      </c>
      <c r="E63" s="22">
        <v>41</v>
      </c>
      <c r="F63" s="23">
        <v>20</v>
      </c>
      <c r="G63" s="24"/>
      <c r="IP63" s="4"/>
      <c r="IQ63" s="4"/>
      <c r="IR63" s="4"/>
      <c r="IS63" s="4"/>
      <c r="IT63" s="4"/>
      <c r="IU63" s="4"/>
    </row>
    <row r="64" s="3" customFormat="1" customHeight="1" spans="1:255">
      <c r="A64" s="19">
        <v>57</v>
      </c>
      <c r="B64" s="19" t="s">
        <v>563</v>
      </c>
      <c r="C64" s="20" t="s">
        <v>612</v>
      </c>
      <c r="D64" s="21" t="s">
        <v>642</v>
      </c>
      <c r="E64" s="22">
        <v>50</v>
      </c>
      <c r="F64" s="23"/>
      <c r="G64" s="24"/>
      <c r="IP64" s="4"/>
      <c r="IQ64" s="4"/>
      <c r="IR64" s="4"/>
      <c r="IS64" s="4"/>
      <c r="IT64" s="4"/>
      <c r="IU64" s="4"/>
    </row>
    <row r="65" s="3" customFormat="1" customHeight="1" spans="1:255">
      <c r="A65" s="19">
        <v>58</v>
      </c>
      <c r="B65" s="19" t="s">
        <v>563</v>
      </c>
      <c r="C65" s="20" t="s">
        <v>612</v>
      </c>
      <c r="D65" s="21" t="s">
        <v>645</v>
      </c>
      <c r="E65" s="22">
        <v>7.4</v>
      </c>
      <c r="F65" s="23"/>
      <c r="G65" s="24"/>
      <c r="IP65" s="4"/>
      <c r="IQ65" s="4"/>
      <c r="IR65" s="4"/>
      <c r="IS65" s="4"/>
      <c r="IT65" s="4"/>
      <c r="IU65" s="4"/>
    </row>
    <row r="66" s="3" customFormat="1" customHeight="1" spans="1:255">
      <c r="A66" s="19">
        <v>59</v>
      </c>
      <c r="B66" s="19" t="s">
        <v>563</v>
      </c>
      <c r="C66" s="20" t="s">
        <v>612</v>
      </c>
      <c r="D66" s="21" t="s">
        <v>650</v>
      </c>
      <c r="E66" s="22">
        <v>13.55</v>
      </c>
      <c r="F66" s="23"/>
      <c r="G66" s="24"/>
      <c r="IP66" s="4"/>
      <c r="IQ66" s="4"/>
      <c r="IR66" s="4"/>
      <c r="IS66" s="4"/>
      <c r="IT66" s="4"/>
      <c r="IU66" s="4"/>
    </row>
    <row r="67" s="3" customFormat="1" customHeight="1" spans="1:255">
      <c r="A67" s="19">
        <v>60</v>
      </c>
      <c r="B67" s="19" t="s">
        <v>598</v>
      </c>
      <c r="C67" s="20" t="s">
        <v>612</v>
      </c>
      <c r="D67" s="21" t="s">
        <v>651</v>
      </c>
      <c r="E67" s="22">
        <v>5</v>
      </c>
      <c r="F67" s="23">
        <v>5</v>
      </c>
      <c r="G67" s="24"/>
      <c r="IP67" s="4"/>
      <c r="IQ67" s="4"/>
      <c r="IR67" s="4"/>
      <c r="IS67" s="4"/>
      <c r="IT67" s="4"/>
      <c r="IU67" s="4"/>
    </row>
    <row r="68" s="3" customFormat="1" customHeight="1" spans="1:255">
      <c r="A68" s="19">
        <v>61</v>
      </c>
      <c r="B68" s="19" t="s">
        <v>598</v>
      </c>
      <c r="C68" s="20" t="s">
        <v>612</v>
      </c>
      <c r="D68" s="21" t="s">
        <v>652</v>
      </c>
      <c r="E68" s="22">
        <v>29.5</v>
      </c>
      <c r="F68" s="23">
        <v>29.5</v>
      </c>
      <c r="G68" s="24"/>
      <c r="IP68" s="4"/>
      <c r="IQ68" s="4"/>
      <c r="IR68" s="4"/>
      <c r="IS68" s="4"/>
      <c r="IT68" s="4"/>
      <c r="IU68" s="4"/>
    </row>
    <row r="69" s="3" customFormat="1" customHeight="1" spans="1:255">
      <c r="A69" s="19">
        <v>62</v>
      </c>
      <c r="B69" s="19" t="s">
        <v>521</v>
      </c>
      <c r="C69" s="20" t="s">
        <v>1664</v>
      </c>
      <c r="D69" s="21" t="s">
        <v>1955</v>
      </c>
      <c r="E69" s="22">
        <v>3.8033</v>
      </c>
      <c r="F69" s="23">
        <v>3.8</v>
      </c>
      <c r="G69" s="24"/>
      <c r="IP69" s="4"/>
      <c r="IQ69" s="4"/>
      <c r="IR69" s="4"/>
      <c r="IS69" s="4"/>
      <c r="IT69" s="4"/>
      <c r="IU69" s="4"/>
    </row>
    <row r="70" s="3" customFormat="1" customHeight="1" spans="1:255">
      <c r="A70" s="19">
        <v>63</v>
      </c>
      <c r="B70" s="19" t="s">
        <v>521</v>
      </c>
      <c r="C70" s="20" t="s">
        <v>1664</v>
      </c>
      <c r="D70" s="21" t="s">
        <v>661</v>
      </c>
      <c r="E70" s="22">
        <v>10.7915</v>
      </c>
      <c r="F70" s="23">
        <v>10.79</v>
      </c>
      <c r="G70" s="24"/>
      <c r="IP70" s="4"/>
      <c r="IQ70" s="4"/>
      <c r="IR70" s="4"/>
      <c r="IS70" s="4"/>
      <c r="IT70" s="4"/>
      <c r="IU70" s="4"/>
    </row>
    <row r="71" s="3" customFormat="1" customHeight="1" spans="1:255">
      <c r="A71" s="19">
        <v>64</v>
      </c>
      <c r="B71" s="19" t="s">
        <v>540</v>
      </c>
      <c r="C71" s="20" t="s">
        <v>669</v>
      </c>
      <c r="D71" s="21" t="s">
        <v>671</v>
      </c>
      <c r="E71" s="22">
        <v>38</v>
      </c>
      <c r="F71" s="23"/>
      <c r="G71" s="25" t="s">
        <v>1952</v>
      </c>
      <c r="IP71" s="4"/>
      <c r="IQ71" s="4"/>
      <c r="IR71" s="4"/>
      <c r="IS71" s="4"/>
      <c r="IT71" s="4"/>
      <c r="IU71" s="4"/>
    </row>
    <row r="72" s="3" customFormat="1" customHeight="1" spans="1:255">
      <c r="A72" s="19">
        <v>65</v>
      </c>
      <c r="B72" s="19" t="s">
        <v>563</v>
      </c>
      <c r="C72" s="20" t="s">
        <v>672</v>
      </c>
      <c r="D72" s="21" t="s">
        <v>673</v>
      </c>
      <c r="E72" s="22">
        <v>20</v>
      </c>
      <c r="F72" s="23">
        <v>10</v>
      </c>
      <c r="G72" s="24"/>
      <c r="IP72" s="4"/>
      <c r="IQ72" s="4"/>
      <c r="IR72" s="4"/>
      <c r="IS72" s="4"/>
      <c r="IT72" s="4"/>
      <c r="IU72" s="4"/>
    </row>
    <row r="73" s="3" customFormat="1" customHeight="1" spans="1:255">
      <c r="A73" s="19">
        <v>66</v>
      </c>
      <c r="B73" s="19" t="s">
        <v>563</v>
      </c>
      <c r="C73" s="20" t="s">
        <v>672</v>
      </c>
      <c r="D73" s="21" t="s">
        <v>674</v>
      </c>
      <c r="E73" s="22">
        <v>32</v>
      </c>
      <c r="F73" s="23">
        <v>10</v>
      </c>
      <c r="G73" s="24"/>
      <c r="IP73" s="4"/>
      <c r="IQ73" s="4"/>
      <c r="IR73" s="4"/>
      <c r="IS73" s="4"/>
      <c r="IT73" s="4"/>
      <c r="IU73" s="4"/>
    </row>
    <row r="74" s="3" customFormat="1" customHeight="1" spans="1:255">
      <c r="A74" s="19">
        <v>67</v>
      </c>
      <c r="B74" s="19" t="s">
        <v>563</v>
      </c>
      <c r="C74" s="20" t="s">
        <v>672</v>
      </c>
      <c r="D74" s="21" t="s">
        <v>675</v>
      </c>
      <c r="E74" s="22">
        <v>15</v>
      </c>
      <c r="F74" s="23">
        <v>10</v>
      </c>
      <c r="G74" s="24"/>
      <c r="IP74" s="4"/>
      <c r="IQ74" s="4"/>
      <c r="IR74" s="4"/>
      <c r="IS74" s="4"/>
      <c r="IT74" s="4"/>
      <c r="IU74" s="4"/>
    </row>
    <row r="75" s="3" customFormat="1" customHeight="1" spans="1:255">
      <c r="A75" s="19">
        <v>68</v>
      </c>
      <c r="B75" s="19" t="s">
        <v>563</v>
      </c>
      <c r="C75" s="20" t="s">
        <v>672</v>
      </c>
      <c r="D75" s="21" t="s">
        <v>677</v>
      </c>
      <c r="E75" s="22">
        <v>8</v>
      </c>
      <c r="F75" s="23"/>
      <c r="G75" s="24"/>
      <c r="IP75" s="4"/>
      <c r="IQ75" s="4"/>
      <c r="IR75" s="4"/>
      <c r="IS75" s="4"/>
      <c r="IT75" s="4"/>
      <c r="IU75" s="4"/>
    </row>
    <row r="76" s="3" customFormat="1" customHeight="1" spans="1:255">
      <c r="A76" s="19">
        <v>69</v>
      </c>
      <c r="B76" s="19" t="s">
        <v>563</v>
      </c>
      <c r="C76" s="20" t="s">
        <v>672</v>
      </c>
      <c r="D76" s="21" t="s">
        <v>678</v>
      </c>
      <c r="E76" s="22">
        <v>8</v>
      </c>
      <c r="F76" s="23"/>
      <c r="G76" s="24"/>
      <c r="IP76" s="4"/>
      <c r="IQ76" s="4"/>
      <c r="IR76" s="4"/>
      <c r="IS76" s="4"/>
      <c r="IT76" s="4"/>
      <c r="IU76" s="4"/>
    </row>
    <row r="77" s="3" customFormat="1" customHeight="1" spans="1:255">
      <c r="A77" s="19">
        <v>70</v>
      </c>
      <c r="B77" s="19" t="s">
        <v>563</v>
      </c>
      <c r="C77" s="20" t="s">
        <v>679</v>
      </c>
      <c r="D77" s="21" t="s">
        <v>680</v>
      </c>
      <c r="E77" s="22">
        <v>3.3</v>
      </c>
      <c r="F77" s="23">
        <v>3.3</v>
      </c>
      <c r="G77" s="24"/>
      <c r="IP77" s="4"/>
      <c r="IQ77" s="4"/>
      <c r="IR77" s="4"/>
      <c r="IS77" s="4"/>
      <c r="IT77" s="4"/>
      <c r="IU77" s="4"/>
    </row>
    <row r="78" s="3" customFormat="1" customHeight="1" spans="1:255">
      <c r="A78" s="19">
        <v>71</v>
      </c>
      <c r="B78" s="19" t="s">
        <v>563</v>
      </c>
      <c r="C78" s="20" t="s">
        <v>1504</v>
      </c>
      <c r="D78" s="21" t="s">
        <v>682</v>
      </c>
      <c r="E78" s="22">
        <v>58</v>
      </c>
      <c r="F78" s="23">
        <v>50</v>
      </c>
      <c r="G78" s="24"/>
      <c r="IP78" s="4"/>
      <c r="IQ78" s="4"/>
      <c r="IR78" s="4"/>
      <c r="IS78" s="4"/>
      <c r="IT78" s="4"/>
      <c r="IU78" s="4"/>
    </row>
    <row r="79" s="3" customFormat="1" customHeight="1" spans="1:255">
      <c r="A79" s="19">
        <v>72</v>
      </c>
      <c r="B79" s="19" t="s">
        <v>563</v>
      </c>
      <c r="C79" s="20" t="s">
        <v>1504</v>
      </c>
      <c r="D79" s="21" t="s">
        <v>684</v>
      </c>
      <c r="E79" s="22">
        <v>36</v>
      </c>
      <c r="F79" s="23">
        <v>30</v>
      </c>
      <c r="G79" s="24"/>
      <c r="IP79" s="4"/>
      <c r="IQ79" s="4"/>
      <c r="IR79" s="4"/>
      <c r="IS79" s="4"/>
      <c r="IT79" s="4"/>
      <c r="IU79" s="4"/>
    </row>
    <row r="80" s="3" customFormat="1" customHeight="1" spans="1:255">
      <c r="A80" s="19">
        <v>73</v>
      </c>
      <c r="B80" s="19" t="s">
        <v>563</v>
      </c>
      <c r="C80" s="20" t="s">
        <v>1504</v>
      </c>
      <c r="D80" s="21" t="s">
        <v>686</v>
      </c>
      <c r="E80" s="22">
        <v>92.96</v>
      </c>
      <c r="F80" s="23">
        <v>70</v>
      </c>
      <c r="G80" s="24"/>
      <c r="IP80" s="4"/>
      <c r="IQ80" s="4"/>
      <c r="IR80" s="4"/>
      <c r="IS80" s="4"/>
      <c r="IT80" s="4"/>
      <c r="IU80" s="4"/>
    </row>
    <row r="81" s="3" customFormat="1" customHeight="1" spans="1:255">
      <c r="A81" s="19">
        <v>74</v>
      </c>
      <c r="B81" s="19" t="s">
        <v>563</v>
      </c>
      <c r="C81" s="20" t="s">
        <v>1504</v>
      </c>
      <c r="D81" s="21" t="s">
        <v>688</v>
      </c>
      <c r="E81" s="22">
        <v>5</v>
      </c>
      <c r="F81" s="23"/>
      <c r="G81" s="24"/>
      <c r="IP81" s="4"/>
      <c r="IQ81" s="4"/>
      <c r="IR81" s="4"/>
      <c r="IS81" s="4"/>
      <c r="IT81" s="4"/>
      <c r="IU81" s="4"/>
    </row>
    <row r="82" s="3" customFormat="1" customHeight="1" spans="1:255">
      <c r="A82" s="19">
        <v>75</v>
      </c>
      <c r="B82" s="19" t="s">
        <v>563</v>
      </c>
      <c r="C82" s="20" t="s">
        <v>1504</v>
      </c>
      <c r="D82" s="21" t="s">
        <v>690</v>
      </c>
      <c r="E82" s="22">
        <v>30</v>
      </c>
      <c r="F82" s="23"/>
      <c r="G82" s="24"/>
      <c r="IP82" s="4"/>
      <c r="IQ82" s="4"/>
      <c r="IR82" s="4"/>
      <c r="IS82" s="4"/>
      <c r="IT82" s="4"/>
      <c r="IU82" s="4"/>
    </row>
    <row r="83" s="3" customFormat="1" customHeight="1" spans="1:255">
      <c r="A83" s="19">
        <v>76</v>
      </c>
      <c r="B83" s="19" t="s">
        <v>563</v>
      </c>
      <c r="C83" s="20" t="s">
        <v>1504</v>
      </c>
      <c r="D83" s="21" t="s">
        <v>691</v>
      </c>
      <c r="E83" s="22">
        <v>50</v>
      </c>
      <c r="F83" s="23">
        <v>50</v>
      </c>
      <c r="G83" s="24"/>
      <c r="IP83" s="4"/>
      <c r="IQ83" s="4"/>
      <c r="IR83" s="4"/>
      <c r="IS83" s="4"/>
      <c r="IT83" s="4"/>
      <c r="IU83" s="4"/>
    </row>
    <row r="84" s="3" customFormat="1" customHeight="1" spans="1:255">
      <c r="A84" s="19">
        <v>77</v>
      </c>
      <c r="B84" s="19" t="s">
        <v>563</v>
      </c>
      <c r="C84" s="20" t="s">
        <v>1504</v>
      </c>
      <c r="D84" s="21" t="s">
        <v>692</v>
      </c>
      <c r="E84" s="22">
        <v>120</v>
      </c>
      <c r="F84" s="23"/>
      <c r="G84" s="24"/>
      <c r="IP84" s="4"/>
      <c r="IQ84" s="4"/>
      <c r="IR84" s="4"/>
      <c r="IS84" s="4"/>
      <c r="IT84" s="4"/>
      <c r="IU84" s="4"/>
    </row>
    <row r="85" s="3" customFormat="1" customHeight="1" spans="1:255">
      <c r="A85" s="19">
        <v>78</v>
      </c>
      <c r="B85" s="19" t="s">
        <v>563</v>
      </c>
      <c r="C85" s="20" t="s">
        <v>1504</v>
      </c>
      <c r="D85" s="21" t="s">
        <v>699</v>
      </c>
      <c r="E85" s="22">
        <v>94.3</v>
      </c>
      <c r="F85" s="23">
        <v>94.3</v>
      </c>
      <c r="G85" s="24"/>
      <c r="IP85" s="4"/>
      <c r="IQ85" s="4"/>
      <c r="IR85" s="4"/>
      <c r="IS85" s="4"/>
      <c r="IT85" s="4"/>
      <c r="IU85" s="4"/>
    </row>
    <row r="86" s="3" customFormat="1" customHeight="1" spans="1:255">
      <c r="A86" s="19">
        <v>79</v>
      </c>
      <c r="B86" s="19" t="s">
        <v>521</v>
      </c>
      <c r="C86" s="20" t="s">
        <v>701</v>
      </c>
      <c r="D86" s="21" t="s">
        <v>704</v>
      </c>
      <c r="E86" s="22">
        <v>2</v>
      </c>
      <c r="F86" s="23"/>
      <c r="G86" s="24"/>
      <c r="IP86" s="4"/>
      <c r="IQ86" s="4"/>
      <c r="IR86" s="4"/>
      <c r="IS86" s="4"/>
      <c r="IT86" s="4"/>
      <c r="IU86" s="4"/>
    </row>
    <row r="87" s="3" customFormat="1" customHeight="1" spans="1:255">
      <c r="A87" s="19">
        <v>80</v>
      </c>
      <c r="B87" s="19" t="s">
        <v>521</v>
      </c>
      <c r="C87" s="20" t="s">
        <v>701</v>
      </c>
      <c r="D87" s="21" t="s">
        <v>524</v>
      </c>
      <c r="E87" s="22">
        <v>3.81</v>
      </c>
      <c r="F87" s="22">
        <v>3.81</v>
      </c>
      <c r="G87" s="24"/>
      <c r="IP87" s="4"/>
      <c r="IQ87" s="4"/>
      <c r="IR87" s="4"/>
      <c r="IS87" s="4"/>
      <c r="IT87" s="4"/>
      <c r="IU87" s="4"/>
    </row>
    <row r="88" s="3" customFormat="1" customHeight="1" spans="1:255">
      <c r="A88" s="19">
        <v>81</v>
      </c>
      <c r="B88" s="19" t="s">
        <v>521</v>
      </c>
      <c r="C88" s="20" t="s">
        <v>701</v>
      </c>
      <c r="D88" s="21" t="s">
        <v>708</v>
      </c>
      <c r="E88" s="22">
        <v>200</v>
      </c>
      <c r="F88" s="22">
        <v>100</v>
      </c>
      <c r="G88" s="24"/>
      <c r="IP88" s="4"/>
      <c r="IQ88" s="4"/>
      <c r="IR88" s="4"/>
      <c r="IS88" s="4"/>
      <c r="IT88" s="4"/>
      <c r="IU88" s="4"/>
    </row>
    <row r="89" s="3" customFormat="1" customHeight="1" spans="1:255">
      <c r="A89" s="19">
        <v>82</v>
      </c>
      <c r="B89" s="19" t="s">
        <v>521</v>
      </c>
      <c r="C89" s="20" t="s">
        <v>701</v>
      </c>
      <c r="D89" s="21" t="s">
        <v>523</v>
      </c>
      <c r="E89" s="22">
        <v>11.31</v>
      </c>
      <c r="F89" s="22">
        <v>11.31</v>
      </c>
      <c r="G89" s="24"/>
      <c r="IP89" s="4"/>
      <c r="IQ89" s="4"/>
      <c r="IR89" s="4"/>
      <c r="IS89" s="4"/>
      <c r="IT89" s="4"/>
      <c r="IU89" s="4"/>
    </row>
    <row r="90" s="3" customFormat="1" customHeight="1" spans="1:255">
      <c r="A90" s="19">
        <v>83</v>
      </c>
      <c r="B90" s="19" t="s">
        <v>521</v>
      </c>
      <c r="C90" s="20" t="s">
        <v>701</v>
      </c>
      <c r="D90" s="21" t="s">
        <v>711</v>
      </c>
      <c r="E90" s="22">
        <v>158.4</v>
      </c>
      <c r="F90" s="22">
        <v>158.4</v>
      </c>
      <c r="G90" s="24"/>
      <c r="IP90" s="4"/>
      <c r="IQ90" s="4"/>
      <c r="IR90" s="4"/>
      <c r="IS90" s="4"/>
      <c r="IT90" s="4"/>
      <c r="IU90" s="4"/>
    </row>
    <row r="91" s="3" customFormat="1" customHeight="1" spans="1:255">
      <c r="A91" s="19">
        <v>84</v>
      </c>
      <c r="B91" s="19" t="s">
        <v>521</v>
      </c>
      <c r="C91" s="20" t="s">
        <v>701</v>
      </c>
      <c r="D91" s="21" t="s">
        <v>712</v>
      </c>
      <c r="E91" s="22">
        <v>3</v>
      </c>
      <c r="F91" s="23"/>
      <c r="G91" s="24"/>
      <c r="IP91" s="4"/>
      <c r="IQ91" s="4"/>
      <c r="IR91" s="4"/>
      <c r="IS91" s="4"/>
      <c r="IT91" s="4"/>
      <c r="IU91" s="4"/>
    </row>
    <row r="92" s="3" customFormat="1" customHeight="1" spans="1:255">
      <c r="A92" s="19">
        <v>85</v>
      </c>
      <c r="B92" s="19" t="s">
        <v>521</v>
      </c>
      <c r="C92" s="20" t="s">
        <v>701</v>
      </c>
      <c r="D92" s="21" t="s">
        <v>713</v>
      </c>
      <c r="E92" s="22">
        <v>262.5</v>
      </c>
      <c r="F92" s="23">
        <v>262.5</v>
      </c>
      <c r="G92" s="24"/>
      <c r="IP92" s="4"/>
      <c r="IQ92" s="4"/>
      <c r="IR92" s="4"/>
      <c r="IS92" s="4"/>
      <c r="IT92" s="4"/>
      <c r="IU92" s="4"/>
    </row>
    <row r="93" s="3" customFormat="1" customHeight="1" spans="1:255">
      <c r="A93" s="19">
        <v>86</v>
      </c>
      <c r="B93" s="19" t="s">
        <v>521</v>
      </c>
      <c r="C93" s="20" t="s">
        <v>701</v>
      </c>
      <c r="D93" s="21" t="s">
        <v>707</v>
      </c>
      <c r="E93" s="22">
        <v>3.435</v>
      </c>
      <c r="F93" s="22">
        <v>3.435</v>
      </c>
      <c r="G93" s="24"/>
      <c r="IP93" s="4"/>
      <c r="IQ93" s="4"/>
      <c r="IR93" s="4"/>
      <c r="IS93" s="4"/>
      <c r="IT93" s="4"/>
      <c r="IU93" s="4"/>
    </row>
    <row r="94" s="3" customFormat="1" customHeight="1" spans="1:255">
      <c r="A94" s="19">
        <v>87</v>
      </c>
      <c r="B94" s="19" t="s">
        <v>521</v>
      </c>
      <c r="C94" s="20" t="s">
        <v>701</v>
      </c>
      <c r="D94" s="21" t="s">
        <v>717</v>
      </c>
      <c r="E94" s="22">
        <v>6.999863</v>
      </c>
      <c r="F94" s="22">
        <v>6.999863</v>
      </c>
      <c r="G94" s="24"/>
      <c r="IP94" s="4"/>
      <c r="IQ94" s="4"/>
      <c r="IR94" s="4"/>
      <c r="IS94" s="4"/>
      <c r="IT94" s="4"/>
      <c r="IU94" s="4"/>
    </row>
    <row r="95" s="3" customFormat="1" customHeight="1" spans="1:255">
      <c r="A95" s="19">
        <v>88</v>
      </c>
      <c r="B95" s="19" t="s">
        <v>521</v>
      </c>
      <c r="C95" s="20" t="s">
        <v>701</v>
      </c>
      <c r="D95" s="21" t="s">
        <v>717</v>
      </c>
      <c r="E95" s="22">
        <v>74.14</v>
      </c>
      <c r="F95" s="22">
        <v>74.14</v>
      </c>
      <c r="G95" s="24"/>
      <c r="IP95" s="4"/>
      <c r="IQ95" s="4"/>
      <c r="IR95" s="4"/>
      <c r="IS95" s="4"/>
      <c r="IT95" s="4"/>
      <c r="IU95" s="4"/>
    </row>
    <row r="96" s="3" customFormat="1" customHeight="1" spans="1:255">
      <c r="A96" s="19">
        <v>89</v>
      </c>
      <c r="B96" s="19" t="s">
        <v>521</v>
      </c>
      <c r="C96" s="20" t="s">
        <v>701</v>
      </c>
      <c r="D96" s="21" t="s">
        <v>718</v>
      </c>
      <c r="E96" s="22">
        <v>0.19</v>
      </c>
      <c r="F96" s="22">
        <v>0.19</v>
      </c>
      <c r="G96" s="24"/>
      <c r="IP96" s="4"/>
      <c r="IQ96" s="4"/>
      <c r="IR96" s="4"/>
      <c r="IS96" s="4"/>
      <c r="IT96" s="4"/>
      <c r="IU96" s="4"/>
    </row>
    <row r="97" s="3" customFormat="1" customHeight="1" spans="1:255">
      <c r="A97" s="19">
        <v>90</v>
      </c>
      <c r="B97" s="19" t="s">
        <v>521</v>
      </c>
      <c r="C97" s="20" t="s">
        <v>701</v>
      </c>
      <c r="D97" s="21" t="s">
        <v>719</v>
      </c>
      <c r="E97" s="22">
        <v>0.436</v>
      </c>
      <c r="F97" s="22">
        <v>0.436</v>
      </c>
      <c r="G97" s="24"/>
      <c r="IP97" s="4"/>
      <c r="IQ97" s="4"/>
      <c r="IR97" s="4"/>
      <c r="IS97" s="4"/>
      <c r="IT97" s="4"/>
      <c r="IU97" s="4"/>
    </row>
    <row r="98" s="3" customFormat="1" customHeight="1" spans="1:255">
      <c r="A98" s="19">
        <v>91</v>
      </c>
      <c r="B98" s="19" t="s">
        <v>521</v>
      </c>
      <c r="C98" s="20" t="s">
        <v>701</v>
      </c>
      <c r="D98" s="21" t="s">
        <v>720</v>
      </c>
      <c r="E98" s="22">
        <v>0.32875</v>
      </c>
      <c r="F98" s="22">
        <v>0.32875</v>
      </c>
      <c r="G98" s="24"/>
      <c r="IP98" s="4"/>
      <c r="IQ98" s="4"/>
      <c r="IR98" s="4"/>
      <c r="IS98" s="4"/>
      <c r="IT98" s="4"/>
      <c r="IU98" s="4"/>
    </row>
    <row r="99" s="3" customFormat="1" customHeight="1" spans="1:255">
      <c r="A99" s="19">
        <v>92</v>
      </c>
      <c r="B99" s="19" t="s">
        <v>521</v>
      </c>
      <c r="C99" s="20" t="s">
        <v>701</v>
      </c>
      <c r="D99" s="21" t="s">
        <v>721</v>
      </c>
      <c r="E99" s="22">
        <v>0.6312</v>
      </c>
      <c r="F99" s="22">
        <v>0.6312</v>
      </c>
      <c r="G99" s="24"/>
      <c r="IP99" s="4"/>
      <c r="IQ99" s="4"/>
      <c r="IR99" s="4"/>
      <c r="IS99" s="4"/>
      <c r="IT99" s="4"/>
      <c r="IU99" s="4"/>
    </row>
    <row r="100" s="3" customFormat="1" customHeight="1" spans="1:255">
      <c r="A100" s="19">
        <v>93</v>
      </c>
      <c r="B100" s="19" t="s">
        <v>521</v>
      </c>
      <c r="C100" s="20" t="s">
        <v>728</v>
      </c>
      <c r="D100" s="21" t="s">
        <v>707</v>
      </c>
      <c r="E100" s="22">
        <v>163.25</v>
      </c>
      <c r="F100" s="22">
        <v>163.25</v>
      </c>
      <c r="G100" s="24"/>
      <c r="IP100" s="4"/>
      <c r="IQ100" s="4"/>
      <c r="IR100" s="4"/>
      <c r="IS100" s="4"/>
      <c r="IT100" s="4"/>
      <c r="IU100" s="4"/>
    </row>
    <row r="101" s="3" customFormat="1" customHeight="1" spans="1:255">
      <c r="A101" s="19">
        <v>94</v>
      </c>
      <c r="B101" s="19" t="s">
        <v>521</v>
      </c>
      <c r="C101" s="20" t="s">
        <v>729</v>
      </c>
      <c r="D101" s="21" t="s">
        <v>731</v>
      </c>
      <c r="E101" s="22">
        <v>7.1</v>
      </c>
      <c r="F101" s="23">
        <v>7.1</v>
      </c>
      <c r="G101" s="24"/>
      <c r="IP101" s="4"/>
      <c r="IQ101" s="4"/>
      <c r="IR101" s="4"/>
      <c r="IS101" s="4"/>
      <c r="IT101" s="4"/>
      <c r="IU101" s="4"/>
    </row>
    <row r="102" s="3" customFormat="1" customHeight="1" spans="1:255">
      <c r="A102" s="19">
        <v>95</v>
      </c>
      <c r="B102" s="19" t="s">
        <v>521</v>
      </c>
      <c r="C102" s="20" t="s">
        <v>729</v>
      </c>
      <c r="D102" s="21" t="s">
        <v>732</v>
      </c>
      <c r="E102" s="22">
        <v>40</v>
      </c>
      <c r="F102" s="23"/>
      <c r="G102" s="24"/>
      <c r="IP102" s="4"/>
      <c r="IQ102" s="4"/>
      <c r="IR102" s="4"/>
      <c r="IS102" s="4"/>
      <c r="IT102" s="4"/>
      <c r="IU102" s="4"/>
    </row>
    <row r="103" s="3" customFormat="1" customHeight="1" spans="1:255">
      <c r="A103" s="19">
        <v>96</v>
      </c>
      <c r="B103" s="19" t="s">
        <v>516</v>
      </c>
      <c r="C103" s="20" t="s">
        <v>733</v>
      </c>
      <c r="D103" s="21" t="s">
        <v>734</v>
      </c>
      <c r="E103" s="22">
        <v>120</v>
      </c>
      <c r="F103" s="23">
        <v>60</v>
      </c>
      <c r="G103" s="24"/>
      <c r="IP103" s="4"/>
      <c r="IQ103" s="4"/>
      <c r="IR103" s="4"/>
      <c r="IS103" s="4"/>
      <c r="IT103" s="4"/>
      <c r="IU103" s="4"/>
    </row>
    <row r="104" s="3" customFormat="1" customHeight="1" spans="1:255">
      <c r="A104" s="19">
        <v>97</v>
      </c>
      <c r="B104" s="19" t="s">
        <v>563</v>
      </c>
      <c r="C104" s="20" t="s">
        <v>733</v>
      </c>
      <c r="D104" s="21" t="s">
        <v>735</v>
      </c>
      <c r="E104" s="22">
        <v>14</v>
      </c>
      <c r="F104" s="23"/>
      <c r="G104" s="24"/>
      <c r="IP104" s="4"/>
      <c r="IQ104" s="4"/>
      <c r="IR104" s="4"/>
      <c r="IS104" s="4"/>
      <c r="IT104" s="4"/>
      <c r="IU104" s="4"/>
    </row>
    <row r="105" s="3" customFormat="1" customHeight="1" spans="1:255">
      <c r="A105" s="19">
        <v>98</v>
      </c>
      <c r="B105" s="19" t="s">
        <v>563</v>
      </c>
      <c r="C105" s="20" t="s">
        <v>733</v>
      </c>
      <c r="D105" s="21" t="s">
        <v>737</v>
      </c>
      <c r="E105" s="22">
        <v>10</v>
      </c>
      <c r="F105" s="23"/>
      <c r="G105" s="24"/>
      <c r="IP105" s="4"/>
      <c r="IQ105" s="4"/>
      <c r="IR105" s="4"/>
      <c r="IS105" s="4"/>
      <c r="IT105" s="4"/>
      <c r="IU105" s="4"/>
    </row>
    <row r="106" s="3" customFormat="1" customHeight="1" spans="1:255">
      <c r="A106" s="19">
        <v>99</v>
      </c>
      <c r="B106" s="19" t="s">
        <v>563</v>
      </c>
      <c r="C106" s="20" t="s">
        <v>733</v>
      </c>
      <c r="D106" s="21" t="s">
        <v>738</v>
      </c>
      <c r="E106" s="22">
        <v>18.4</v>
      </c>
      <c r="F106" s="23">
        <v>18.4</v>
      </c>
      <c r="G106" s="24"/>
      <c r="IP106" s="4"/>
      <c r="IQ106" s="4"/>
      <c r="IR106" s="4"/>
      <c r="IS106" s="4"/>
      <c r="IT106" s="4"/>
      <c r="IU106" s="4"/>
    </row>
    <row r="107" s="3" customFormat="1" customHeight="1" spans="1:255">
      <c r="A107" s="19">
        <v>100</v>
      </c>
      <c r="B107" s="19" t="s">
        <v>563</v>
      </c>
      <c r="C107" s="20" t="s">
        <v>733</v>
      </c>
      <c r="D107" s="21" t="s">
        <v>740</v>
      </c>
      <c r="E107" s="22">
        <v>20</v>
      </c>
      <c r="F107" s="23">
        <v>10</v>
      </c>
      <c r="G107" s="24"/>
      <c r="IP107" s="4"/>
      <c r="IQ107" s="4"/>
      <c r="IR107" s="4"/>
      <c r="IS107" s="4"/>
      <c r="IT107" s="4"/>
      <c r="IU107" s="4"/>
    </row>
    <row r="108" s="3" customFormat="1" customHeight="1" spans="1:255">
      <c r="A108" s="19">
        <v>101</v>
      </c>
      <c r="B108" s="19" t="s">
        <v>563</v>
      </c>
      <c r="C108" s="20" t="s">
        <v>733</v>
      </c>
      <c r="D108" s="21" t="s">
        <v>741</v>
      </c>
      <c r="E108" s="22">
        <v>21</v>
      </c>
      <c r="F108" s="23">
        <v>21</v>
      </c>
      <c r="G108" s="24"/>
      <c r="IP108" s="4"/>
      <c r="IQ108" s="4"/>
      <c r="IR108" s="4"/>
      <c r="IS108" s="4"/>
      <c r="IT108" s="4"/>
      <c r="IU108" s="4"/>
    </row>
    <row r="109" s="3" customFormat="1" customHeight="1" spans="1:255">
      <c r="A109" s="19">
        <v>102</v>
      </c>
      <c r="B109" s="19" t="s">
        <v>563</v>
      </c>
      <c r="C109" s="20" t="s">
        <v>733</v>
      </c>
      <c r="D109" s="21" t="s">
        <v>743</v>
      </c>
      <c r="E109" s="22">
        <v>28.79</v>
      </c>
      <c r="F109" s="23">
        <v>28.79</v>
      </c>
      <c r="G109" s="24"/>
      <c r="IP109" s="4"/>
      <c r="IQ109" s="4"/>
      <c r="IR109" s="4"/>
      <c r="IS109" s="4"/>
      <c r="IT109" s="4"/>
      <c r="IU109" s="4"/>
    </row>
    <row r="110" s="3" customFormat="1" customHeight="1" spans="1:255">
      <c r="A110" s="19">
        <v>103</v>
      </c>
      <c r="B110" s="19" t="s">
        <v>563</v>
      </c>
      <c r="C110" s="20" t="s">
        <v>733</v>
      </c>
      <c r="D110" s="21" t="s">
        <v>745</v>
      </c>
      <c r="E110" s="22">
        <v>0.23</v>
      </c>
      <c r="F110" s="23">
        <v>0.23</v>
      </c>
      <c r="G110" s="24"/>
      <c r="IP110" s="4"/>
      <c r="IQ110" s="4"/>
      <c r="IR110" s="4"/>
      <c r="IS110" s="4"/>
      <c r="IT110" s="4"/>
      <c r="IU110" s="4"/>
    </row>
    <row r="111" s="3" customFormat="1" customHeight="1" spans="1:255">
      <c r="A111" s="19">
        <v>104</v>
      </c>
      <c r="B111" s="19" t="s">
        <v>563</v>
      </c>
      <c r="C111" s="20" t="s">
        <v>733</v>
      </c>
      <c r="D111" s="21" t="s">
        <v>747</v>
      </c>
      <c r="E111" s="22">
        <v>46.72</v>
      </c>
      <c r="F111" s="23">
        <v>46.72</v>
      </c>
      <c r="G111" s="24"/>
      <c r="IP111" s="4"/>
      <c r="IQ111" s="4"/>
      <c r="IR111" s="4"/>
      <c r="IS111" s="4"/>
      <c r="IT111" s="4"/>
      <c r="IU111" s="4"/>
    </row>
    <row r="112" s="3" customFormat="1" customHeight="1" spans="1:255">
      <c r="A112" s="19">
        <v>105</v>
      </c>
      <c r="B112" s="19" t="s">
        <v>563</v>
      </c>
      <c r="C112" s="20" t="s">
        <v>733</v>
      </c>
      <c r="D112" s="21" t="s">
        <v>748</v>
      </c>
      <c r="E112" s="22">
        <v>50</v>
      </c>
      <c r="F112" s="23">
        <v>50</v>
      </c>
      <c r="G112" s="24"/>
      <c r="IP112" s="4"/>
      <c r="IQ112" s="4"/>
      <c r="IR112" s="4"/>
      <c r="IS112" s="4"/>
      <c r="IT112" s="4"/>
      <c r="IU112" s="4"/>
    </row>
    <row r="113" s="3" customFormat="1" customHeight="1" spans="1:255">
      <c r="A113" s="19">
        <v>106</v>
      </c>
      <c r="B113" s="19" t="s">
        <v>563</v>
      </c>
      <c r="C113" s="20" t="s">
        <v>733</v>
      </c>
      <c r="D113" s="21" t="s">
        <v>749</v>
      </c>
      <c r="E113" s="22">
        <v>7</v>
      </c>
      <c r="F113" s="23">
        <v>7</v>
      </c>
      <c r="G113" s="24"/>
      <c r="IP113" s="4"/>
      <c r="IQ113" s="4"/>
      <c r="IR113" s="4"/>
      <c r="IS113" s="4"/>
      <c r="IT113" s="4"/>
      <c r="IU113" s="4"/>
    </row>
    <row r="114" s="3" customFormat="1" customHeight="1" spans="1:255">
      <c r="A114" s="19">
        <v>107</v>
      </c>
      <c r="B114" s="19" t="s">
        <v>563</v>
      </c>
      <c r="C114" s="20" t="s">
        <v>751</v>
      </c>
      <c r="D114" s="21" t="s">
        <v>754</v>
      </c>
      <c r="E114" s="22">
        <v>10.34</v>
      </c>
      <c r="F114" s="23">
        <v>5</v>
      </c>
      <c r="G114" s="24"/>
      <c r="IP114" s="4"/>
      <c r="IQ114" s="4"/>
      <c r="IR114" s="4"/>
      <c r="IS114" s="4"/>
      <c r="IT114" s="4"/>
      <c r="IU114" s="4"/>
    </row>
    <row r="115" s="3" customFormat="1" customHeight="1" spans="1:255">
      <c r="A115" s="19">
        <v>108</v>
      </c>
      <c r="B115" s="19" t="s">
        <v>563</v>
      </c>
      <c r="C115" s="20" t="s">
        <v>751</v>
      </c>
      <c r="D115" s="21" t="s">
        <v>755</v>
      </c>
      <c r="E115" s="22">
        <v>12</v>
      </c>
      <c r="F115" s="23">
        <v>5</v>
      </c>
      <c r="G115" s="24"/>
      <c r="IP115" s="4"/>
      <c r="IQ115" s="4"/>
      <c r="IR115" s="4"/>
      <c r="IS115" s="4"/>
      <c r="IT115" s="4"/>
      <c r="IU115" s="4"/>
    </row>
    <row r="116" s="3" customFormat="1" customHeight="1" spans="1:255">
      <c r="A116" s="19">
        <v>109</v>
      </c>
      <c r="B116" s="19" t="s">
        <v>563</v>
      </c>
      <c r="C116" s="20" t="s">
        <v>751</v>
      </c>
      <c r="D116" s="21" t="s">
        <v>756</v>
      </c>
      <c r="E116" s="22">
        <v>1.36</v>
      </c>
      <c r="F116" s="23"/>
      <c r="G116" s="24"/>
      <c r="IP116" s="4"/>
      <c r="IQ116" s="4"/>
      <c r="IR116" s="4"/>
      <c r="IS116" s="4"/>
      <c r="IT116" s="4"/>
      <c r="IU116" s="4"/>
    </row>
    <row r="117" s="3" customFormat="1" customHeight="1" spans="1:255">
      <c r="A117" s="19">
        <v>110</v>
      </c>
      <c r="B117" s="19" t="s">
        <v>563</v>
      </c>
      <c r="C117" s="20" t="s">
        <v>758</v>
      </c>
      <c r="D117" s="21" t="s">
        <v>761</v>
      </c>
      <c r="E117" s="22">
        <v>0.87</v>
      </c>
      <c r="F117" s="23">
        <v>0.87</v>
      </c>
      <c r="G117" s="24"/>
      <c r="IP117" s="4"/>
      <c r="IQ117" s="4"/>
      <c r="IR117" s="4"/>
      <c r="IS117" s="4"/>
      <c r="IT117" s="4"/>
      <c r="IU117" s="4"/>
    </row>
    <row r="118" s="3" customFormat="1" customHeight="1" spans="1:255">
      <c r="A118" s="19">
        <v>111</v>
      </c>
      <c r="B118" s="19" t="s">
        <v>563</v>
      </c>
      <c r="C118" s="20" t="s">
        <v>758</v>
      </c>
      <c r="D118" s="21" t="s">
        <v>762</v>
      </c>
      <c r="E118" s="22">
        <v>21</v>
      </c>
      <c r="F118" s="23">
        <v>21</v>
      </c>
      <c r="G118" s="24"/>
      <c r="IP118" s="4"/>
      <c r="IQ118" s="4"/>
      <c r="IR118" s="4"/>
      <c r="IS118" s="4"/>
      <c r="IT118" s="4"/>
      <c r="IU118" s="4"/>
    </row>
    <row r="119" s="3" customFormat="1" customHeight="1" spans="1:255">
      <c r="A119" s="19">
        <v>112</v>
      </c>
      <c r="B119" s="19" t="s">
        <v>563</v>
      </c>
      <c r="C119" s="20" t="s">
        <v>758</v>
      </c>
      <c r="D119" s="21" t="s">
        <v>764</v>
      </c>
      <c r="E119" s="22">
        <v>131.02</v>
      </c>
      <c r="F119" s="23">
        <v>50</v>
      </c>
      <c r="G119" s="24"/>
      <c r="IP119" s="4"/>
      <c r="IQ119" s="4"/>
      <c r="IR119" s="4"/>
      <c r="IS119" s="4"/>
      <c r="IT119" s="4"/>
      <c r="IU119" s="4"/>
    </row>
    <row r="120" s="3" customFormat="1" customHeight="1" spans="1:255">
      <c r="A120" s="19">
        <v>113</v>
      </c>
      <c r="B120" s="19" t="s">
        <v>563</v>
      </c>
      <c r="C120" s="20" t="s">
        <v>758</v>
      </c>
      <c r="D120" s="21" t="s">
        <v>765</v>
      </c>
      <c r="E120" s="22">
        <v>13.69</v>
      </c>
      <c r="F120" s="23"/>
      <c r="G120" s="24"/>
      <c r="IP120" s="4"/>
      <c r="IQ120" s="4"/>
      <c r="IR120" s="4"/>
      <c r="IS120" s="4"/>
      <c r="IT120" s="4"/>
      <c r="IU120" s="4"/>
    </row>
    <row r="121" s="3" customFormat="1" customHeight="1" spans="1:255">
      <c r="A121" s="19">
        <v>114</v>
      </c>
      <c r="B121" s="19" t="s">
        <v>563</v>
      </c>
      <c r="C121" s="20" t="s">
        <v>758</v>
      </c>
      <c r="D121" s="21" t="s">
        <v>766</v>
      </c>
      <c r="E121" s="22">
        <v>9.15</v>
      </c>
      <c r="F121" s="23">
        <v>9.15</v>
      </c>
      <c r="G121" s="24"/>
      <c r="IP121" s="4"/>
      <c r="IQ121" s="4"/>
      <c r="IR121" s="4"/>
      <c r="IS121" s="4"/>
      <c r="IT121" s="4"/>
      <c r="IU121" s="4"/>
    </row>
    <row r="122" s="3" customFormat="1" customHeight="1" spans="1:255">
      <c r="A122" s="19">
        <v>115</v>
      </c>
      <c r="B122" s="19" t="s">
        <v>563</v>
      </c>
      <c r="C122" s="20" t="s">
        <v>758</v>
      </c>
      <c r="D122" s="21" t="s">
        <v>767</v>
      </c>
      <c r="E122" s="22">
        <v>17.03</v>
      </c>
      <c r="F122" s="23">
        <v>5</v>
      </c>
      <c r="G122" s="24"/>
      <c r="IP122" s="4"/>
      <c r="IQ122" s="4"/>
      <c r="IR122" s="4"/>
      <c r="IS122" s="4"/>
      <c r="IT122" s="4"/>
      <c r="IU122" s="4"/>
    </row>
    <row r="123" s="3" customFormat="1" customHeight="1" spans="1:255">
      <c r="A123" s="19">
        <v>116</v>
      </c>
      <c r="B123" s="19" t="s">
        <v>563</v>
      </c>
      <c r="C123" s="20" t="s">
        <v>758</v>
      </c>
      <c r="D123" s="21" t="s">
        <v>768</v>
      </c>
      <c r="E123" s="22">
        <v>30.18</v>
      </c>
      <c r="F123" s="23"/>
      <c r="G123" s="24"/>
      <c r="IP123" s="4"/>
      <c r="IQ123" s="4"/>
      <c r="IR123" s="4"/>
      <c r="IS123" s="4"/>
      <c r="IT123" s="4"/>
      <c r="IU123" s="4"/>
    </row>
    <row r="124" s="3" customFormat="1" customHeight="1" spans="1:255">
      <c r="A124" s="19">
        <v>117</v>
      </c>
      <c r="B124" s="19" t="s">
        <v>563</v>
      </c>
      <c r="C124" s="20" t="s">
        <v>769</v>
      </c>
      <c r="D124" s="21" t="s">
        <v>772</v>
      </c>
      <c r="E124" s="22">
        <v>7</v>
      </c>
      <c r="F124" s="23">
        <v>5</v>
      </c>
      <c r="G124" s="24"/>
      <c r="IP124" s="4"/>
      <c r="IQ124" s="4"/>
      <c r="IR124" s="4"/>
      <c r="IS124" s="4"/>
      <c r="IT124" s="4"/>
      <c r="IU124" s="4"/>
    </row>
    <row r="125" s="3" customFormat="1" customHeight="1" spans="1:255">
      <c r="A125" s="19">
        <v>118</v>
      </c>
      <c r="B125" s="19" t="s">
        <v>563</v>
      </c>
      <c r="C125" s="20" t="s">
        <v>769</v>
      </c>
      <c r="D125" s="21" t="s">
        <v>775</v>
      </c>
      <c r="E125" s="22">
        <v>2.16</v>
      </c>
      <c r="F125" s="23">
        <v>2</v>
      </c>
      <c r="G125" s="24"/>
      <c r="IP125" s="4"/>
      <c r="IQ125" s="4"/>
      <c r="IR125" s="4"/>
      <c r="IS125" s="4"/>
      <c r="IT125" s="4"/>
      <c r="IU125" s="4"/>
    </row>
    <row r="126" s="3" customFormat="1" customHeight="1" spans="1:255">
      <c r="A126" s="19">
        <v>119</v>
      </c>
      <c r="B126" s="19" t="s">
        <v>563</v>
      </c>
      <c r="C126" s="20" t="s">
        <v>769</v>
      </c>
      <c r="D126" s="21" t="s">
        <v>776</v>
      </c>
      <c r="E126" s="22">
        <v>9</v>
      </c>
      <c r="F126" s="23">
        <v>9</v>
      </c>
      <c r="G126" s="24"/>
      <c r="IP126" s="4"/>
      <c r="IQ126" s="4"/>
      <c r="IR126" s="4"/>
      <c r="IS126" s="4"/>
      <c r="IT126" s="4"/>
      <c r="IU126" s="4"/>
    </row>
    <row r="127" s="3" customFormat="1" customHeight="1" spans="1:255">
      <c r="A127" s="19">
        <v>120</v>
      </c>
      <c r="B127" s="19" t="s">
        <v>521</v>
      </c>
      <c r="C127" s="20" t="s">
        <v>781</v>
      </c>
      <c r="D127" s="21" t="s">
        <v>786</v>
      </c>
      <c r="E127" s="22">
        <v>20.4</v>
      </c>
      <c r="F127" s="22">
        <v>20.4</v>
      </c>
      <c r="G127" s="24"/>
      <c r="IP127" s="4"/>
      <c r="IQ127" s="4"/>
      <c r="IR127" s="4"/>
      <c r="IS127" s="4"/>
      <c r="IT127" s="4"/>
      <c r="IU127" s="4"/>
    </row>
    <row r="128" s="3" customFormat="1" customHeight="1" spans="1:255">
      <c r="A128" s="19">
        <v>121</v>
      </c>
      <c r="B128" s="19" t="s">
        <v>521</v>
      </c>
      <c r="C128" s="20" t="s">
        <v>781</v>
      </c>
      <c r="D128" s="21" t="s">
        <v>787</v>
      </c>
      <c r="E128" s="22">
        <v>20</v>
      </c>
      <c r="F128" s="22">
        <v>20</v>
      </c>
      <c r="G128" s="24"/>
      <c r="IP128" s="4"/>
      <c r="IQ128" s="4"/>
      <c r="IR128" s="4"/>
      <c r="IS128" s="4"/>
      <c r="IT128" s="4"/>
      <c r="IU128" s="4"/>
    </row>
    <row r="129" s="3" customFormat="1" customHeight="1" spans="1:255">
      <c r="A129" s="19">
        <v>122</v>
      </c>
      <c r="B129" s="19" t="s">
        <v>521</v>
      </c>
      <c r="C129" s="20" t="s">
        <v>781</v>
      </c>
      <c r="D129" s="21" t="s">
        <v>788</v>
      </c>
      <c r="E129" s="22">
        <v>180</v>
      </c>
      <c r="F129" s="23">
        <v>180</v>
      </c>
      <c r="G129" s="24"/>
      <c r="IP129" s="4"/>
      <c r="IQ129" s="4"/>
      <c r="IR129" s="4"/>
      <c r="IS129" s="4"/>
      <c r="IT129" s="4"/>
      <c r="IU129" s="4"/>
    </row>
    <row r="130" s="3" customFormat="1" customHeight="1" spans="1:255">
      <c r="A130" s="19">
        <v>123</v>
      </c>
      <c r="B130" s="19" t="s">
        <v>521</v>
      </c>
      <c r="C130" s="20" t="s">
        <v>781</v>
      </c>
      <c r="D130" s="21" t="s">
        <v>790</v>
      </c>
      <c r="E130" s="22">
        <v>121.4</v>
      </c>
      <c r="F130" s="23">
        <v>121.4</v>
      </c>
      <c r="G130" s="24"/>
      <c r="IP130" s="4"/>
      <c r="IQ130" s="4"/>
      <c r="IR130" s="4"/>
      <c r="IS130" s="4"/>
      <c r="IT130" s="4"/>
      <c r="IU130" s="4"/>
    </row>
    <row r="131" s="3" customFormat="1" customHeight="1" spans="1:255">
      <c r="A131" s="19">
        <v>124</v>
      </c>
      <c r="B131" s="19" t="s">
        <v>563</v>
      </c>
      <c r="C131" s="20" t="s">
        <v>794</v>
      </c>
      <c r="D131" s="21" t="s">
        <v>795</v>
      </c>
      <c r="E131" s="22">
        <v>5</v>
      </c>
      <c r="F131" s="23">
        <v>5</v>
      </c>
      <c r="G131" s="24"/>
      <c r="IP131" s="4"/>
      <c r="IQ131" s="4"/>
      <c r="IR131" s="4"/>
      <c r="IS131" s="4"/>
      <c r="IT131" s="4"/>
      <c r="IU131" s="4"/>
    </row>
    <row r="132" s="3" customFormat="1" customHeight="1" spans="1:255">
      <c r="A132" s="19">
        <v>125</v>
      </c>
      <c r="B132" s="19" t="s">
        <v>563</v>
      </c>
      <c r="C132" s="20" t="s">
        <v>794</v>
      </c>
      <c r="D132" s="21" t="s">
        <v>796</v>
      </c>
      <c r="E132" s="22">
        <v>30</v>
      </c>
      <c r="F132" s="23">
        <v>30</v>
      </c>
      <c r="G132" s="24"/>
      <c r="IP132" s="4"/>
      <c r="IQ132" s="4"/>
      <c r="IR132" s="4"/>
      <c r="IS132" s="4"/>
      <c r="IT132" s="4"/>
      <c r="IU132" s="4"/>
    </row>
    <row r="133" s="3" customFormat="1" customHeight="1" spans="1:255">
      <c r="A133" s="19">
        <v>126</v>
      </c>
      <c r="B133" s="19" t="s">
        <v>563</v>
      </c>
      <c r="C133" s="20" t="s">
        <v>794</v>
      </c>
      <c r="D133" s="21" t="s">
        <v>798</v>
      </c>
      <c r="E133" s="22">
        <v>8</v>
      </c>
      <c r="F133" s="23">
        <v>5</v>
      </c>
      <c r="G133" s="24"/>
      <c r="IP133" s="4"/>
      <c r="IQ133" s="4"/>
      <c r="IR133" s="4"/>
      <c r="IS133" s="4"/>
      <c r="IT133" s="4"/>
      <c r="IU133" s="4"/>
    </row>
    <row r="134" s="3" customFormat="1" customHeight="1" spans="1:255">
      <c r="A134" s="19">
        <v>127</v>
      </c>
      <c r="B134" s="19" t="s">
        <v>563</v>
      </c>
      <c r="C134" s="20" t="s">
        <v>794</v>
      </c>
      <c r="D134" s="21" t="s">
        <v>799</v>
      </c>
      <c r="E134" s="22">
        <v>18</v>
      </c>
      <c r="F134" s="23">
        <v>18</v>
      </c>
      <c r="G134" s="24"/>
      <c r="IP134" s="4"/>
      <c r="IQ134" s="4"/>
      <c r="IR134" s="4"/>
      <c r="IS134" s="4"/>
      <c r="IT134" s="4"/>
      <c r="IU134" s="4"/>
    </row>
    <row r="135" s="3" customFormat="1" customHeight="1" spans="1:255">
      <c r="A135" s="19">
        <v>128</v>
      </c>
      <c r="B135" s="19" t="s">
        <v>563</v>
      </c>
      <c r="C135" s="20" t="s">
        <v>794</v>
      </c>
      <c r="D135" s="21" t="s">
        <v>802</v>
      </c>
      <c r="E135" s="22">
        <v>5</v>
      </c>
      <c r="F135" s="23">
        <v>5</v>
      </c>
      <c r="G135" s="24"/>
      <c r="IP135" s="4"/>
      <c r="IQ135" s="4"/>
      <c r="IR135" s="4"/>
      <c r="IS135" s="4"/>
      <c r="IT135" s="4"/>
      <c r="IU135" s="4"/>
    </row>
    <row r="136" s="3" customFormat="1" customHeight="1" spans="1:255">
      <c r="A136" s="19">
        <v>129</v>
      </c>
      <c r="B136" s="19" t="s">
        <v>563</v>
      </c>
      <c r="C136" s="20" t="s">
        <v>794</v>
      </c>
      <c r="D136" s="21" t="s">
        <v>803</v>
      </c>
      <c r="E136" s="22">
        <v>6</v>
      </c>
      <c r="F136" s="23">
        <v>6</v>
      </c>
      <c r="G136" s="24"/>
      <c r="IP136" s="4"/>
      <c r="IQ136" s="4"/>
      <c r="IR136" s="4"/>
      <c r="IS136" s="4"/>
      <c r="IT136" s="4"/>
      <c r="IU136" s="4"/>
    </row>
    <row r="137" s="3" customFormat="1" customHeight="1" spans="1:255">
      <c r="A137" s="19">
        <v>130</v>
      </c>
      <c r="B137" s="19" t="s">
        <v>516</v>
      </c>
      <c r="C137" s="20" t="s">
        <v>804</v>
      </c>
      <c r="D137" s="21" t="s">
        <v>805</v>
      </c>
      <c r="E137" s="22">
        <v>2675</v>
      </c>
      <c r="F137" s="23"/>
      <c r="G137" s="24"/>
      <c r="IP137" s="4"/>
      <c r="IQ137" s="4"/>
      <c r="IR137" s="4"/>
      <c r="IS137" s="4"/>
      <c r="IT137" s="4"/>
      <c r="IU137" s="4"/>
    </row>
    <row r="138" s="3" customFormat="1" customHeight="1" spans="1:255">
      <c r="A138" s="19">
        <v>131</v>
      </c>
      <c r="B138" s="19" t="s">
        <v>653</v>
      </c>
      <c r="C138" s="20" t="s">
        <v>806</v>
      </c>
      <c r="D138" s="21" t="s">
        <v>810</v>
      </c>
      <c r="E138" s="22">
        <v>7.2</v>
      </c>
      <c r="F138" s="23">
        <v>7.2</v>
      </c>
      <c r="G138" s="24"/>
      <c r="IP138" s="4"/>
      <c r="IQ138" s="4"/>
      <c r="IR138" s="4"/>
      <c r="IS138" s="4"/>
      <c r="IT138" s="4"/>
      <c r="IU138" s="4"/>
    </row>
    <row r="139" s="3" customFormat="1" customHeight="1" spans="1:255">
      <c r="A139" s="19">
        <v>132</v>
      </c>
      <c r="B139" s="19" t="s">
        <v>653</v>
      </c>
      <c r="C139" s="20" t="s">
        <v>806</v>
      </c>
      <c r="D139" s="21" t="s">
        <v>811</v>
      </c>
      <c r="E139" s="22">
        <v>24.85</v>
      </c>
      <c r="F139" s="23">
        <v>24.85</v>
      </c>
      <c r="G139" s="24"/>
      <c r="IP139" s="4"/>
      <c r="IQ139" s="4"/>
      <c r="IR139" s="4"/>
      <c r="IS139" s="4"/>
      <c r="IT139" s="4"/>
      <c r="IU139" s="4"/>
    </row>
    <row r="140" s="3" customFormat="1" customHeight="1" spans="1:255">
      <c r="A140" s="19">
        <v>133</v>
      </c>
      <c r="B140" s="19" t="s">
        <v>563</v>
      </c>
      <c r="C140" s="20" t="s">
        <v>812</v>
      </c>
      <c r="D140" s="21" t="s">
        <v>813</v>
      </c>
      <c r="E140" s="22">
        <v>5</v>
      </c>
      <c r="F140" s="23">
        <v>5</v>
      </c>
      <c r="G140" s="24"/>
      <c r="IP140" s="4"/>
      <c r="IQ140" s="4"/>
      <c r="IR140" s="4"/>
      <c r="IS140" s="4"/>
      <c r="IT140" s="4"/>
      <c r="IU140" s="4"/>
    </row>
    <row r="141" s="3" customFormat="1" customHeight="1" spans="1:255">
      <c r="A141" s="19">
        <v>134</v>
      </c>
      <c r="B141" s="19" t="s">
        <v>563</v>
      </c>
      <c r="C141" s="20" t="s">
        <v>812</v>
      </c>
      <c r="D141" s="21" t="s">
        <v>814</v>
      </c>
      <c r="E141" s="22">
        <v>63.18</v>
      </c>
      <c r="F141" s="23">
        <v>63.18</v>
      </c>
      <c r="G141" s="24"/>
      <c r="IP141" s="4"/>
      <c r="IQ141" s="4"/>
      <c r="IR141" s="4"/>
      <c r="IS141" s="4"/>
      <c r="IT141" s="4"/>
      <c r="IU141" s="4"/>
    </row>
    <row r="142" s="3" customFormat="1" customHeight="1" spans="1:255">
      <c r="A142" s="19">
        <v>135</v>
      </c>
      <c r="B142" s="19" t="s">
        <v>563</v>
      </c>
      <c r="C142" s="20" t="s">
        <v>812</v>
      </c>
      <c r="D142" s="21" t="s">
        <v>816</v>
      </c>
      <c r="E142" s="22">
        <v>2</v>
      </c>
      <c r="F142" s="23"/>
      <c r="G142" s="24"/>
      <c r="IP142" s="4"/>
      <c r="IQ142" s="4"/>
      <c r="IR142" s="4"/>
      <c r="IS142" s="4"/>
      <c r="IT142" s="4"/>
      <c r="IU142" s="4"/>
    </row>
    <row r="143" s="3" customFormat="1" customHeight="1" spans="1:255">
      <c r="A143" s="19">
        <v>136</v>
      </c>
      <c r="B143" s="19" t="s">
        <v>521</v>
      </c>
      <c r="C143" s="20" t="s">
        <v>1477</v>
      </c>
      <c r="D143" s="21" t="s">
        <v>832</v>
      </c>
      <c r="E143" s="22">
        <v>21.8984</v>
      </c>
      <c r="F143" s="22">
        <v>21.8984</v>
      </c>
      <c r="G143" s="24"/>
      <c r="IP143" s="4"/>
      <c r="IQ143" s="4"/>
      <c r="IR143" s="4"/>
      <c r="IS143" s="4"/>
      <c r="IT143" s="4"/>
      <c r="IU143" s="4"/>
    </row>
    <row r="144" s="3" customFormat="1" customHeight="1" spans="1:255">
      <c r="A144" s="19">
        <v>137</v>
      </c>
      <c r="B144" s="19" t="s">
        <v>521</v>
      </c>
      <c r="C144" s="20" t="s">
        <v>1477</v>
      </c>
      <c r="D144" s="21" t="s">
        <v>833</v>
      </c>
      <c r="E144" s="22">
        <v>27.98</v>
      </c>
      <c r="F144" s="22">
        <v>0</v>
      </c>
      <c r="G144" s="24"/>
      <c r="IP144" s="4"/>
      <c r="IQ144" s="4"/>
      <c r="IR144" s="4"/>
      <c r="IS144" s="4"/>
      <c r="IT144" s="4"/>
      <c r="IU144" s="4"/>
    </row>
    <row r="145" s="3" customFormat="1" customHeight="1" spans="1:255">
      <c r="A145" s="19">
        <v>138</v>
      </c>
      <c r="B145" s="19" t="s">
        <v>563</v>
      </c>
      <c r="C145" s="20" t="s">
        <v>840</v>
      </c>
      <c r="D145" s="21" t="s">
        <v>846</v>
      </c>
      <c r="E145" s="22">
        <v>21</v>
      </c>
      <c r="F145" s="23">
        <v>21</v>
      </c>
      <c r="G145" s="24"/>
      <c r="IP145" s="4"/>
      <c r="IQ145" s="4"/>
      <c r="IR145" s="4"/>
      <c r="IS145" s="4"/>
      <c r="IT145" s="4"/>
      <c r="IU145" s="4"/>
    </row>
    <row r="146" s="3" customFormat="1" customHeight="1" spans="1:255">
      <c r="A146" s="19">
        <v>139</v>
      </c>
      <c r="B146" s="19" t="s">
        <v>540</v>
      </c>
      <c r="C146" s="20" t="s">
        <v>848</v>
      </c>
      <c r="D146" s="21" t="s">
        <v>855</v>
      </c>
      <c r="E146" s="22">
        <v>3.0736</v>
      </c>
      <c r="F146" s="23">
        <v>3.07</v>
      </c>
      <c r="G146" s="24"/>
      <c r="IP146" s="4"/>
      <c r="IQ146" s="4"/>
      <c r="IR146" s="4"/>
      <c r="IS146" s="4"/>
      <c r="IT146" s="4"/>
      <c r="IU146" s="4"/>
    </row>
    <row r="147" s="3" customFormat="1" customHeight="1" spans="1:255">
      <c r="A147" s="19">
        <v>140</v>
      </c>
      <c r="B147" s="19" t="s">
        <v>540</v>
      </c>
      <c r="C147" s="20" t="s">
        <v>848</v>
      </c>
      <c r="D147" s="21" t="s">
        <v>864</v>
      </c>
      <c r="E147" s="22">
        <v>5.2</v>
      </c>
      <c r="F147" s="23"/>
      <c r="G147" s="24"/>
      <c r="IP147" s="4"/>
      <c r="IQ147" s="4"/>
      <c r="IR147" s="4"/>
      <c r="IS147" s="4"/>
      <c r="IT147" s="4"/>
      <c r="IU147" s="4"/>
    </row>
    <row r="148" s="3" customFormat="1" customHeight="1" spans="1:255">
      <c r="A148" s="19">
        <v>141</v>
      </c>
      <c r="B148" s="19" t="s">
        <v>540</v>
      </c>
      <c r="C148" s="20" t="s">
        <v>848</v>
      </c>
      <c r="D148" s="21" t="s">
        <v>865</v>
      </c>
      <c r="E148" s="22">
        <v>80</v>
      </c>
      <c r="F148" s="23">
        <v>35</v>
      </c>
      <c r="G148" s="24"/>
      <c r="IP148" s="4"/>
      <c r="IQ148" s="4"/>
      <c r="IR148" s="4"/>
      <c r="IS148" s="4"/>
      <c r="IT148" s="4"/>
      <c r="IU148" s="4"/>
    </row>
    <row r="149" s="3" customFormat="1" customHeight="1" spans="1:255">
      <c r="A149" s="19">
        <v>142</v>
      </c>
      <c r="B149" s="19" t="s">
        <v>540</v>
      </c>
      <c r="C149" s="20" t="s">
        <v>848</v>
      </c>
      <c r="D149" s="21" t="s">
        <v>866</v>
      </c>
      <c r="E149" s="22">
        <v>240.78</v>
      </c>
      <c r="F149" s="23">
        <v>240.78</v>
      </c>
      <c r="G149" s="24"/>
      <c r="IP149" s="4"/>
      <c r="IQ149" s="4"/>
      <c r="IR149" s="4"/>
      <c r="IS149" s="4"/>
      <c r="IT149" s="4"/>
      <c r="IU149" s="4"/>
    </row>
    <row r="150" s="3" customFormat="1" customHeight="1" spans="1:255">
      <c r="A150" s="19">
        <v>143</v>
      </c>
      <c r="B150" s="19" t="s">
        <v>540</v>
      </c>
      <c r="C150" s="20" t="s">
        <v>848</v>
      </c>
      <c r="D150" s="21" t="s">
        <v>869</v>
      </c>
      <c r="E150" s="22">
        <v>60</v>
      </c>
      <c r="F150" s="23"/>
      <c r="G150" s="24"/>
      <c r="IP150" s="4"/>
      <c r="IQ150" s="4"/>
      <c r="IR150" s="4"/>
      <c r="IS150" s="4"/>
      <c r="IT150" s="4"/>
      <c r="IU150" s="4"/>
    </row>
    <row r="151" s="3" customFormat="1" customHeight="1" spans="1:255">
      <c r="A151" s="19">
        <v>144</v>
      </c>
      <c r="B151" s="19" t="s">
        <v>540</v>
      </c>
      <c r="C151" s="20" t="s">
        <v>848</v>
      </c>
      <c r="D151" s="21" t="s">
        <v>870</v>
      </c>
      <c r="E151" s="22">
        <v>20</v>
      </c>
      <c r="F151" s="23"/>
      <c r="G151" s="24"/>
      <c r="IP151" s="4"/>
      <c r="IQ151" s="4"/>
      <c r="IR151" s="4"/>
      <c r="IS151" s="4"/>
      <c r="IT151" s="4"/>
      <c r="IU151" s="4"/>
    </row>
    <row r="152" s="3" customFormat="1" customHeight="1" spans="1:255">
      <c r="A152" s="19">
        <v>145</v>
      </c>
      <c r="B152" s="19" t="s">
        <v>540</v>
      </c>
      <c r="C152" s="20" t="s">
        <v>848</v>
      </c>
      <c r="D152" s="21" t="s">
        <v>871</v>
      </c>
      <c r="E152" s="22">
        <v>7.56</v>
      </c>
      <c r="F152" s="23"/>
      <c r="G152" s="24"/>
      <c r="IP152" s="4"/>
      <c r="IQ152" s="4"/>
      <c r="IR152" s="4"/>
      <c r="IS152" s="4"/>
      <c r="IT152" s="4"/>
      <c r="IU152" s="4"/>
    </row>
    <row r="153" s="3" customFormat="1" customHeight="1" spans="1:255">
      <c r="A153" s="19">
        <v>146</v>
      </c>
      <c r="B153" s="19" t="s">
        <v>540</v>
      </c>
      <c r="C153" s="20" t="s">
        <v>848</v>
      </c>
      <c r="D153" s="21" t="s">
        <v>872</v>
      </c>
      <c r="E153" s="22">
        <v>26.4</v>
      </c>
      <c r="F153" s="23"/>
      <c r="G153" s="24"/>
      <c r="IP153" s="4"/>
      <c r="IQ153" s="4"/>
      <c r="IR153" s="4"/>
      <c r="IS153" s="4"/>
      <c r="IT153" s="4"/>
      <c r="IU153" s="4"/>
    </row>
    <row r="154" s="3" customFormat="1" customHeight="1" spans="1:255">
      <c r="A154" s="19">
        <v>147</v>
      </c>
      <c r="B154" s="19" t="s">
        <v>540</v>
      </c>
      <c r="C154" s="20" t="s">
        <v>848</v>
      </c>
      <c r="D154" s="21" t="s">
        <v>874</v>
      </c>
      <c r="E154" s="22">
        <v>14.7</v>
      </c>
      <c r="F154" s="23"/>
      <c r="G154" s="24"/>
      <c r="IP154" s="4"/>
      <c r="IQ154" s="4"/>
      <c r="IR154" s="4"/>
      <c r="IS154" s="4"/>
      <c r="IT154" s="4"/>
      <c r="IU154" s="4"/>
    </row>
    <row r="155" s="3" customFormat="1" customHeight="1" spans="1:255">
      <c r="A155" s="19">
        <v>148</v>
      </c>
      <c r="B155" s="19" t="s">
        <v>540</v>
      </c>
      <c r="C155" s="20" t="s">
        <v>848</v>
      </c>
      <c r="D155" s="21" t="s">
        <v>876</v>
      </c>
      <c r="E155" s="22">
        <v>5.2</v>
      </c>
      <c r="F155" s="23">
        <v>5.2</v>
      </c>
      <c r="G155" s="24"/>
      <c r="IP155" s="4"/>
      <c r="IQ155" s="4"/>
      <c r="IR155" s="4"/>
      <c r="IS155" s="4"/>
      <c r="IT155" s="4"/>
      <c r="IU155" s="4"/>
    </row>
    <row r="156" s="3" customFormat="1" customHeight="1" spans="1:255">
      <c r="A156" s="19">
        <v>149</v>
      </c>
      <c r="B156" s="19" t="s">
        <v>540</v>
      </c>
      <c r="C156" s="20" t="s">
        <v>848</v>
      </c>
      <c r="D156" s="21" t="s">
        <v>881</v>
      </c>
      <c r="E156" s="22">
        <v>3</v>
      </c>
      <c r="F156" s="23"/>
      <c r="G156" s="24"/>
      <c r="IP156" s="4"/>
      <c r="IQ156" s="4"/>
      <c r="IR156" s="4"/>
      <c r="IS156" s="4"/>
      <c r="IT156" s="4"/>
      <c r="IU156" s="4"/>
    </row>
    <row r="157" s="3" customFormat="1" customHeight="1" spans="1:255">
      <c r="A157" s="19">
        <v>150</v>
      </c>
      <c r="B157" s="19" t="s">
        <v>540</v>
      </c>
      <c r="C157" s="20" t="s">
        <v>848</v>
      </c>
      <c r="D157" s="21" t="s">
        <v>882</v>
      </c>
      <c r="E157" s="22">
        <v>1.3917</v>
      </c>
      <c r="F157" s="23"/>
      <c r="G157" s="24"/>
      <c r="IP157" s="4"/>
      <c r="IQ157" s="4"/>
      <c r="IR157" s="4"/>
      <c r="IS157" s="4"/>
      <c r="IT157" s="4"/>
      <c r="IU157" s="4"/>
    </row>
    <row r="158" s="3" customFormat="1" customHeight="1" spans="1:255">
      <c r="A158" s="19">
        <v>151</v>
      </c>
      <c r="B158" s="19" t="s">
        <v>540</v>
      </c>
      <c r="C158" s="20" t="s">
        <v>848</v>
      </c>
      <c r="D158" s="21" t="s">
        <v>883</v>
      </c>
      <c r="E158" s="22">
        <v>306.85</v>
      </c>
      <c r="F158" s="23"/>
      <c r="G158" s="24"/>
      <c r="IP158" s="4"/>
      <c r="IQ158" s="4"/>
      <c r="IR158" s="4"/>
      <c r="IS158" s="4"/>
      <c r="IT158" s="4"/>
      <c r="IU158" s="4"/>
    </row>
    <row r="159" s="3" customFormat="1" customHeight="1" spans="1:255">
      <c r="A159" s="19">
        <v>152</v>
      </c>
      <c r="B159" s="19" t="s">
        <v>540</v>
      </c>
      <c r="C159" s="20" t="s">
        <v>848</v>
      </c>
      <c r="D159" s="21" t="s">
        <v>856</v>
      </c>
      <c r="E159" s="22">
        <v>5.5</v>
      </c>
      <c r="F159" s="23">
        <v>200</v>
      </c>
      <c r="G159" s="25" t="s">
        <v>1956</v>
      </c>
      <c r="IP159" s="4"/>
      <c r="IQ159" s="4"/>
      <c r="IR159" s="4"/>
      <c r="IS159" s="4"/>
      <c r="IT159" s="4"/>
      <c r="IU159" s="4"/>
    </row>
    <row r="160" s="3" customFormat="1" customHeight="1" spans="1:255">
      <c r="A160" s="19">
        <v>153</v>
      </c>
      <c r="B160" s="19" t="s">
        <v>540</v>
      </c>
      <c r="C160" s="20" t="s">
        <v>848</v>
      </c>
      <c r="D160" s="21" t="s">
        <v>857</v>
      </c>
      <c r="E160" s="22">
        <v>5.73</v>
      </c>
      <c r="F160" s="23"/>
      <c r="G160" s="25"/>
      <c r="IP160" s="4"/>
      <c r="IQ160" s="4"/>
      <c r="IR160" s="4"/>
      <c r="IS160" s="4"/>
      <c r="IT160" s="4"/>
      <c r="IU160" s="4"/>
    </row>
    <row r="161" s="3" customFormat="1" customHeight="1" spans="1:255">
      <c r="A161" s="19">
        <v>154</v>
      </c>
      <c r="B161" s="19" t="s">
        <v>540</v>
      </c>
      <c r="C161" s="20" t="s">
        <v>848</v>
      </c>
      <c r="D161" s="21" t="s">
        <v>858</v>
      </c>
      <c r="E161" s="22">
        <v>10</v>
      </c>
      <c r="F161" s="23"/>
      <c r="G161" s="25"/>
      <c r="IP161" s="4"/>
      <c r="IQ161" s="4"/>
      <c r="IR161" s="4"/>
      <c r="IS161" s="4"/>
      <c r="IT161" s="4"/>
      <c r="IU161" s="4"/>
    </row>
    <row r="162" s="3" customFormat="1" customHeight="1" spans="1:255">
      <c r="A162" s="19">
        <v>155</v>
      </c>
      <c r="B162" s="19" t="s">
        <v>540</v>
      </c>
      <c r="C162" s="20" t="s">
        <v>848</v>
      </c>
      <c r="D162" s="21" t="s">
        <v>859</v>
      </c>
      <c r="E162" s="22">
        <v>10</v>
      </c>
      <c r="F162" s="23"/>
      <c r="G162" s="25"/>
      <c r="IP162" s="4"/>
      <c r="IQ162" s="4"/>
      <c r="IR162" s="4"/>
      <c r="IS162" s="4"/>
      <c r="IT162" s="4"/>
      <c r="IU162" s="4"/>
    </row>
    <row r="163" s="3" customFormat="1" customHeight="1" spans="1:255">
      <c r="A163" s="19">
        <v>156</v>
      </c>
      <c r="B163" s="19" t="s">
        <v>540</v>
      </c>
      <c r="C163" s="20" t="s">
        <v>848</v>
      </c>
      <c r="D163" s="21" t="s">
        <v>860</v>
      </c>
      <c r="E163" s="22">
        <v>10</v>
      </c>
      <c r="F163" s="23"/>
      <c r="G163" s="25"/>
      <c r="IP163" s="4"/>
      <c r="IQ163" s="4"/>
      <c r="IR163" s="4"/>
      <c r="IS163" s="4"/>
      <c r="IT163" s="4"/>
      <c r="IU163" s="4"/>
    </row>
    <row r="164" s="3" customFormat="1" customHeight="1" spans="1:255">
      <c r="A164" s="19">
        <v>157</v>
      </c>
      <c r="B164" s="19" t="s">
        <v>540</v>
      </c>
      <c r="C164" s="20" t="s">
        <v>848</v>
      </c>
      <c r="D164" s="21" t="s">
        <v>861</v>
      </c>
      <c r="E164" s="22">
        <v>10.6</v>
      </c>
      <c r="F164" s="23"/>
      <c r="G164" s="25"/>
      <c r="IP164" s="4"/>
      <c r="IQ164" s="4"/>
      <c r="IR164" s="4"/>
      <c r="IS164" s="4"/>
      <c r="IT164" s="4"/>
      <c r="IU164" s="4"/>
    </row>
    <row r="165" s="3" customFormat="1" customHeight="1" spans="1:255">
      <c r="A165" s="19">
        <v>158</v>
      </c>
      <c r="B165" s="19" t="s">
        <v>540</v>
      </c>
      <c r="C165" s="20" t="s">
        <v>848</v>
      </c>
      <c r="D165" s="21" t="s">
        <v>862</v>
      </c>
      <c r="E165" s="22">
        <v>21</v>
      </c>
      <c r="F165" s="23"/>
      <c r="G165" s="25"/>
      <c r="IP165" s="4"/>
      <c r="IQ165" s="4"/>
      <c r="IR165" s="4"/>
      <c r="IS165" s="4"/>
      <c r="IT165" s="4"/>
      <c r="IU165" s="4"/>
    </row>
    <row r="166" s="3" customFormat="1" customHeight="1" spans="1:255">
      <c r="A166" s="19">
        <v>159</v>
      </c>
      <c r="B166" s="19" t="s">
        <v>540</v>
      </c>
      <c r="C166" s="20" t="s">
        <v>848</v>
      </c>
      <c r="D166" s="21" t="s">
        <v>863</v>
      </c>
      <c r="E166" s="22">
        <v>52.4</v>
      </c>
      <c r="F166" s="23"/>
      <c r="G166" s="25"/>
      <c r="IP166" s="4"/>
      <c r="IQ166" s="4"/>
      <c r="IR166" s="4"/>
      <c r="IS166" s="4"/>
      <c r="IT166" s="4"/>
      <c r="IU166" s="4"/>
    </row>
    <row r="167" s="3" customFormat="1" customHeight="1" spans="1:255">
      <c r="A167" s="19">
        <v>160</v>
      </c>
      <c r="B167" s="19" t="s">
        <v>540</v>
      </c>
      <c r="C167" s="20" t="s">
        <v>848</v>
      </c>
      <c r="D167" s="21" t="s">
        <v>867</v>
      </c>
      <c r="E167" s="22">
        <v>10.335</v>
      </c>
      <c r="F167" s="23"/>
      <c r="G167" s="25"/>
      <c r="IP167" s="4"/>
      <c r="IQ167" s="4"/>
      <c r="IR167" s="4"/>
      <c r="IS167" s="4"/>
      <c r="IT167" s="4"/>
      <c r="IU167" s="4"/>
    </row>
    <row r="168" s="3" customFormat="1" customHeight="1" spans="1:255">
      <c r="A168" s="19">
        <v>161</v>
      </c>
      <c r="B168" s="19" t="s">
        <v>540</v>
      </c>
      <c r="C168" s="20" t="s">
        <v>848</v>
      </c>
      <c r="D168" s="21" t="s">
        <v>868</v>
      </c>
      <c r="E168" s="22">
        <v>187.5</v>
      </c>
      <c r="F168" s="23"/>
      <c r="G168" s="25"/>
      <c r="IP168" s="4"/>
      <c r="IQ168" s="4"/>
      <c r="IR168" s="4"/>
      <c r="IS168" s="4"/>
      <c r="IT168" s="4"/>
      <c r="IU168" s="4"/>
    </row>
    <row r="169" s="3" customFormat="1" customHeight="1" spans="1:255">
      <c r="A169" s="19">
        <v>162</v>
      </c>
      <c r="B169" s="19" t="s">
        <v>540</v>
      </c>
      <c r="C169" s="20" t="s">
        <v>848</v>
      </c>
      <c r="D169" s="21" t="s">
        <v>873</v>
      </c>
      <c r="E169" s="22">
        <v>22.824</v>
      </c>
      <c r="F169" s="23"/>
      <c r="G169" s="25"/>
      <c r="IP169" s="4"/>
      <c r="IQ169" s="4"/>
      <c r="IR169" s="4"/>
      <c r="IS169" s="4"/>
      <c r="IT169" s="4"/>
      <c r="IU169" s="4"/>
    </row>
    <row r="170" s="3" customFormat="1" customHeight="1" spans="1:255">
      <c r="A170" s="19">
        <v>163</v>
      </c>
      <c r="B170" s="19" t="s">
        <v>540</v>
      </c>
      <c r="C170" s="20" t="s">
        <v>848</v>
      </c>
      <c r="D170" s="21" t="s">
        <v>887</v>
      </c>
      <c r="E170" s="22">
        <v>50</v>
      </c>
      <c r="F170" s="23"/>
      <c r="G170" s="25"/>
      <c r="IP170" s="4"/>
      <c r="IQ170" s="4"/>
      <c r="IR170" s="4"/>
      <c r="IS170" s="4"/>
      <c r="IT170" s="4"/>
      <c r="IU170" s="4"/>
    </row>
    <row r="171" s="3" customFormat="1" customHeight="1" spans="1:255">
      <c r="A171" s="19">
        <v>164</v>
      </c>
      <c r="B171" s="19" t="s">
        <v>540</v>
      </c>
      <c r="C171" s="20" t="s">
        <v>848</v>
      </c>
      <c r="D171" s="21" t="s">
        <v>888</v>
      </c>
      <c r="E171" s="22">
        <v>40</v>
      </c>
      <c r="F171" s="23"/>
      <c r="G171" s="25"/>
      <c r="IP171" s="4"/>
      <c r="IQ171" s="4"/>
      <c r="IR171" s="4"/>
      <c r="IS171" s="4"/>
      <c r="IT171" s="4"/>
      <c r="IU171" s="4"/>
    </row>
    <row r="172" s="3" customFormat="1" customHeight="1" spans="1:255">
      <c r="A172" s="19">
        <v>165</v>
      </c>
      <c r="B172" s="19" t="s">
        <v>540</v>
      </c>
      <c r="C172" s="20" t="s">
        <v>848</v>
      </c>
      <c r="D172" s="21" t="s">
        <v>889</v>
      </c>
      <c r="E172" s="22">
        <v>200</v>
      </c>
      <c r="F172" s="23"/>
      <c r="G172" s="25"/>
      <c r="IP172" s="4"/>
      <c r="IQ172" s="4"/>
      <c r="IR172" s="4"/>
      <c r="IS172" s="4"/>
      <c r="IT172" s="4"/>
      <c r="IU172" s="4"/>
    </row>
    <row r="173" s="3" customFormat="1" customHeight="1" spans="1:255">
      <c r="A173" s="19">
        <v>166</v>
      </c>
      <c r="B173" s="19" t="s">
        <v>540</v>
      </c>
      <c r="C173" s="20" t="s">
        <v>848</v>
      </c>
      <c r="D173" s="21" t="s">
        <v>884</v>
      </c>
      <c r="E173" s="22">
        <v>52</v>
      </c>
      <c r="F173" s="23"/>
      <c r="G173" s="24"/>
      <c r="IP173" s="4"/>
      <c r="IQ173" s="4"/>
      <c r="IR173" s="4"/>
      <c r="IS173" s="4"/>
      <c r="IT173" s="4"/>
      <c r="IU173" s="4"/>
    </row>
    <row r="174" s="3" customFormat="1" customHeight="1" spans="1:255">
      <c r="A174" s="19">
        <v>167</v>
      </c>
      <c r="B174" s="19" t="s">
        <v>540</v>
      </c>
      <c r="C174" s="20" t="s">
        <v>848</v>
      </c>
      <c r="D174" s="21" t="s">
        <v>885</v>
      </c>
      <c r="E174" s="22">
        <v>32</v>
      </c>
      <c r="F174" s="23"/>
      <c r="G174" s="24"/>
      <c r="IP174" s="4"/>
      <c r="IQ174" s="4"/>
      <c r="IR174" s="4"/>
      <c r="IS174" s="4"/>
      <c r="IT174" s="4"/>
      <c r="IU174" s="4"/>
    </row>
    <row r="175" s="3" customFormat="1" customHeight="1" spans="1:255">
      <c r="A175" s="19">
        <v>168</v>
      </c>
      <c r="B175" s="19" t="s">
        <v>540</v>
      </c>
      <c r="C175" s="20" t="s">
        <v>848</v>
      </c>
      <c r="D175" s="21" t="s">
        <v>886</v>
      </c>
      <c r="E175" s="22">
        <v>300</v>
      </c>
      <c r="F175" s="23">
        <v>100</v>
      </c>
      <c r="G175" s="24"/>
      <c r="IP175" s="4"/>
      <c r="IQ175" s="4"/>
      <c r="IR175" s="4"/>
      <c r="IS175" s="4"/>
      <c r="IT175" s="4"/>
      <c r="IU175" s="4"/>
    </row>
    <row r="176" s="3" customFormat="1" customHeight="1" spans="1:255">
      <c r="A176" s="19">
        <v>169</v>
      </c>
      <c r="B176" s="19" t="s">
        <v>540</v>
      </c>
      <c r="C176" s="20" t="s">
        <v>848</v>
      </c>
      <c r="D176" s="21" t="s">
        <v>890</v>
      </c>
      <c r="E176" s="22">
        <v>0.324357</v>
      </c>
      <c r="F176" s="23">
        <v>0.32</v>
      </c>
      <c r="G176" s="24"/>
      <c r="IP176" s="4"/>
      <c r="IQ176" s="4"/>
      <c r="IR176" s="4"/>
      <c r="IS176" s="4"/>
      <c r="IT176" s="4"/>
      <c r="IU176" s="4"/>
    </row>
    <row r="177" s="3" customFormat="1" customHeight="1" spans="1:255">
      <c r="A177" s="19">
        <v>170</v>
      </c>
      <c r="B177" s="19" t="s">
        <v>540</v>
      </c>
      <c r="C177" s="20" t="s">
        <v>848</v>
      </c>
      <c r="D177" s="21" t="s">
        <v>891</v>
      </c>
      <c r="E177" s="22">
        <v>2</v>
      </c>
      <c r="F177" s="23"/>
      <c r="G177" s="24"/>
      <c r="IP177" s="4"/>
      <c r="IQ177" s="4"/>
      <c r="IR177" s="4"/>
      <c r="IS177" s="4"/>
      <c r="IT177" s="4"/>
      <c r="IU177" s="4"/>
    </row>
    <row r="178" s="3" customFormat="1" customHeight="1" spans="1:255">
      <c r="A178" s="19">
        <v>171</v>
      </c>
      <c r="B178" s="19" t="s">
        <v>521</v>
      </c>
      <c r="C178" s="20" t="s">
        <v>895</v>
      </c>
      <c r="D178" s="21" t="s">
        <v>896</v>
      </c>
      <c r="E178" s="22">
        <v>8</v>
      </c>
      <c r="F178" s="23">
        <v>1</v>
      </c>
      <c r="G178" s="24"/>
      <c r="IP178" s="4"/>
      <c r="IQ178" s="4"/>
      <c r="IR178" s="4"/>
      <c r="IS178" s="4"/>
      <c r="IT178" s="4"/>
      <c r="IU178" s="4"/>
    </row>
    <row r="179" s="3" customFormat="1" customHeight="1" spans="1:255">
      <c r="A179" s="19">
        <v>172</v>
      </c>
      <c r="B179" s="19" t="s">
        <v>521</v>
      </c>
      <c r="C179" s="20" t="s">
        <v>895</v>
      </c>
      <c r="D179" s="21" t="s">
        <v>900</v>
      </c>
      <c r="E179" s="22">
        <v>9.96</v>
      </c>
      <c r="F179" s="23">
        <v>9.96</v>
      </c>
      <c r="G179" s="24"/>
      <c r="IP179" s="4"/>
      <c r="IQ179" s="4"/>
      <c r="IR179" s="4"/>
      <c r="IS179" s="4"/>
      <c r="IT179" s="4"/>
      <c r="IU179" s="4"/>
    </row>
    <row r="180" s="3" customFormat="1" customHeight="1" spans="1:255">
      <c r="A180" s="19">
        <v>173</v>
      </c>
      <c r="B180" s="19" t="s">
        <v>521</v>
      </c>
      <c r="C180" s="20" t="s">
        <v>895</v>
      </c>
      <c r="D180" s="21" t="s">
        <v>904</v>
      </c>
      <c r="E180" s="22">
        <v>208</v>
      </c>
      <c r="F180" s="23">
        <v>208</v>
      </c>
      <c r="G180" s="24"/>
      <c r="IP180" s="4"/>
      <c r="IQ180" s="4"/>
      <c r="IR180" s="4"/>
      <c r="IS180" s="4"/>
      <c r="IT180" s="4"/>
      <c r="IU180" s="4"/>
    </row>
    <row r="181" s="3" customFormat="1" customHeight="1" spans="1:255">
      <c r="A181" s="19">
        <v>174</v>
      </c>
      <c r="B181" s="19" t="s">
        <v>521</v>
      </c>
      <c r="C181" s="20" t="s">
        <v>895</v>
      </c>
      <c r="D181" s="21" t="s">
        <v>906</v>
      </c>
      <c r="E181" s="22">
        <v>37</v>
      </c>
      <c r="F181" s="23"/>
      <c r="G181" s="24"/>
      <c r="IP181" s="4"/>
      <c r="IQ181" s="4"/>
      <c r="IR181" s="4"/>
      <c r="IS181" s="4"/>
      <c r="IT181" s="4"/>
      <c r="IU181" s="4"/>
    </row>
    <row r="182" s="3" customFormat="1" customHeight="1" spans="1:255">
      <c r="A182" s="19">
        <v>175</v>
      </c>
      <c r="B182" s="19" t="s">
        <v>521</v>
      </c>
      <c r="C182" s="20" t="s">
        <v>895</v>
      </c>
      <c r="D182" s="21" t="s">
        <v>915</v>
      </c>
      <c r="E182" s="22">
        <v>38</v>
      </c>
      <c r="F182" s="23">
        <v>8.4</v>
      </c>
      <c r="G182" s="24"/>
      <c r="IP182" s="4"/>
      <c r="IQ182" s="4"/>
      <c r="IR182" s="4"/>
      <c r="IS182" s="4"/>
      <c r="IT182" s="4"/>
      <c r="IU182" s="4"/>
    </row>
    <row r="183" s="3" customFormat="1" customHeight="1" spans="1:255">
      <c r="A183" s="19">
        <v>176</v>
      </c>
      <c r="B183" s="19" t="s">
        <v>521</v>
      </c>
      <c r="C183" s="20" t="s">
        <v>895</v>
      </c>
      <c r="D183" s="21" t="s">
        <v>916</v>
      </c>
      <c r="E183" s="22">
        <v>1.92</v>
      </c>
      <c r="F183" s="23">
        <v>1.92</v>
      </c>
      <c r="G183" s="24"/>
      <c r="IP183" s="4"/>
      <c r="IQ183" s="4"/>
      <c r="IR183" s="4"/>
      <c r="IS183" s="4"/>
      <c r="IT183" s="4"/>
      <c r="IU183" s="4"/>
    </row>
    <row r="184" s="3" customFormat="1" customHeight="1" spans="1:255">
      <c r="A184" s="19">
        <v>177</v>
      </c>
      <c r="B184" s="19" t="s">
        <v>521</v>
      </c>
      <c r="C184" s="20" t="s">
        <v>895</v>
      </c>
      <c r="D184" s="21" t="s">
        <v>917</v>
      </c>
      <c r="E184" s="22">
        <v>8.88</v>
      </c>
      <c r="F184" s="23">
        <v>8.88</v>
      </c>
      <c r="G184" s="24"/>
      <c r="IP184" s="4"/>
      <c r="IQ184" s="4"/>
      <c r="IR184" s="4"/>
      <c r="IS184" s="4"/>
      <c r="IT184" s="4"/>
      <c r="IU184" s="4"/>
    </row>
    <row r="185" s="3" customFormat="1" customHeight="1" spans="1:255">
      <c r="A185" s="19">
        <v>178</v>
      </c>
      <c r="B185" s="19" t="s">
        <v>521</v>
      </c>
      <c r="C185" s="20" t="s">
        <v>895</v>
      </c>
      <c r="D185" s="21" t="s">
        <v>896</v>
      </c>
      <c r="E185" s="22">
        <v>7</v>
      </c>
      <c r="F185" s="23"/>
      <c r="G185" s="24"/>
      <c r="IP185" s="4"/>
      <c r="IQ185" s="4"/>
      <c r="IR185" s="4"/>
      <c r="IS185" s="4"/>
      <c r="IT185" s="4"/>
      <c r="IU185" s="4"/>
    </row>
    <row r="186" s="3" customFormat="1" customHeight="1" spans="1:255">
      <c r="A186" s="19">
        <v>179</v>
      </c>
      <c r="B186" s="19" t="s">
        <v>521</v>
      </c>
      <c r="C186" s="20" t="s">
        <v>895</v>
      </c>
      <c r="D186" s="21" t="s">
        <v>906</v>
      </c>
      <c r="E186" s="22">
        <v>25</v>
      </c>
      <c r="F186" s="23"/>
      <c r="G186" s="24"/>
      <c r="IP186" s="4"/>
      <c r="IQ186" s="4"/>
      <c r="IR186" s="4"/>
      <c r="IS186" s="4"/>
      <c r="IT186" s="4"/>
      <c r="IU186" s="4"/>
    </row>
    <row r="187" s="3" customFormat="1" customHeight="1" spans="1:255">
      <c r="A187" s="19">
        <v>180</v>
      </c>
      <c r="B187" s="19" t="s">
        <v>521</v>
      </c>
      <c r="C187" s="20" t="s">
        <v>895</v>
      </c>
      <c r="D187" s="21" t="s">
        <v>906</v>
      </c>
      <c r="E187" s="22">
        <v>3</v>
      </c>
      <c r="F187" s="23"/>
      <c r="G187" s="24"/>
      <c r="IP187" s="4"/>
      <c r="IQ187" s="4"/>
      <c r="IR187" s="4"/>
      <c r="IS187" s="4"/>
      <c r="IT187" s="4"/>
      <c r="IU187" s="4"/>
    </row>
    <row r="188" s="3" customFormat="1" customHeight="1" spans="1:255">
      <c r="A188" s="19">
        <v>181</v>
      </c>
      <c r="B188" s="19" t="s">
        <v>540</v>
      </c>
      <c r="C188" s="20" t="s">
        <v>895</v>
      </c>
      <c r="D188" s="21" t="s">
        <v>920</v>
      </c>
      <c r="E188" s="22">
        <v>3.4289</v>
      </c>
      <c r="F188" s="23">
        <v>3.43</v>
      </c>
      <c r="G188" s="24"/>
      <c r="IP188" s="4"/>
      <c r="IQ188" s="4"/>
      <c r="IR188" s="4"/>
      <c r="IS188" s="4"/>
      <c r="IT188" s="4"/>
      <c r="IU188" s="4"/>
    </row>
    <row r="189" s="3" customFormat="1" customHeight="1" spans="1:255">
      <c r="A189" s="19">
        <v>182</v>
      </c>
      <c r="B189" s="19" t="s">
        <v>540</v>
      </c>
      <c r="C189" s="20" t="s">
        <v>895</v>
      </c>
      <c r="D189" s="21" t="s">
        <v>921</v>
      </c>
      <c r="E189" s="22">
        <v>274.8</v>
      </c>
      <c r="F189" s="23">
        <v>274.8</v>
      </c>
      <c r="G189" s="24"/>
      <c r="IP189" s="4"/>
      <c r="IQ189" s="4"/>
      <c r="IR189" s="4"/>
      <c r="IS189" s="4"/>
      <c r="IT189" s="4"/>
      <c r="IU189" s="4"/>
    </row>
    <row r="190" s="3" customFormat="1" customHeight="1" spans="1:255">
      <c r="A190" s="19">
        <v>183</v>
      </c>
      <c r="B190" s="19" t="s">
        <v>540</v>
      </c>
      <c r="C190" s="20" t="s">
        <v>895</v>
      </c>
      <c r="D190" s="21" t="s">
        <v>922</v>
      </c>
      <c r="E190" s="22">
        <v>5.1375</v>
      </c>
      <c r="F190" s="23"/>
      <c r="G190" s="24"/>
      <c r="IP190" s="4"/>
      <c r="IQ190" s="4"/>
      <c r="IR190" s="4"/>
      <c r="IS190" s="4"/>
      <c r="IT190" s="4"/>
      <c r="IU190" s="4"/>
    </row>
    <row r="191" s="3" customFormat="1" customHeight="1" spans="1:255">
      <c r="A191" s="19">
        <v>184</v>
      </c>
      <c r="B191" s="19" t="s">
        <v>611</v>
      </c>
      <c r="C191" s="20" t="s">
        <v>976</v>
      </c>
      <c r="D191" s="21" t="s">
        <v>980</v>
      </c>
      <c r="E191" s="22">
        <v>250.12</v>
      </c>
      <c r="F191" s="23"/>
      <c r="G191" s="24"/>
      <c r="IP191" s="4"/>
      <c r="IQ191" s="4"/>
      <c r="IR191" s="4"/>
      <c r="IS191" s="4"/>
      <c r="IT191" s="4"/>
      <c r="IU191" s="4"/>
    </row>
    <row r="192" s="3" customFormat="1" customHeight="1" spans="1:255">
      <c r="A192" s="19">
        <v>185</v>
      </c>
      <c r="B192" s="19" t="s">
        <v>611</v>
      </c>
      <c r="C192" s="20" t="s">
        <v>976</v>
      </c>
      <c r="D192" s="21" t="s">
        <v>978</v>
      </c>
      <c r="E192" s="22">
        <v>7</v>
      </c>
      <c r="F192" s="23">
        <v>7</v>
      </c>
      <c r="G192" s="24"/>
      <c r="IP192" s="4"/>
      <c r="IQ192" s="4"/>
      <c r="IR192" s="4"/>
      <c r="IS192" s="4"/>
      <c r="IT192" s="4"/>
      <c r="IU192" s="4"/>
    </row>
    <row r="193" s="3" customFormat="1" customHeight="1" spans="1:255">
      <c r="A193" s="19">
        <v>186</v>
      </c>
      <c r="B193" s="19" t="s">
        <v>611</v>
      </c>
      <c r="C193" s="20" t="s">
        <v>976</v>
      </c>
      <c r="D193" s="21" t="s">
        <v>979</v>
      </c>
      <c r="E193" s="22">
        <v>13</v>
      </c>
      <c r="F193" s="23">
        <v>13</v>
      </c>
      <c r="G193" s="24"/>
      <c r="IP193" s="4"/>
      <c r="IQ193" s="4"/>
      <c r="IR193" s="4"/>
      <c r="IS193" s="4"/>
      <c r="IT193" s="4"/>
      <c r="IU193" s="4"/>
    </row>
    <row r="194" s="3" customFormat="1" customHeight="1" spans="1:255">
      <c r="A194" s="19">
        <v>187</v>
      </c>
      <c r="B194" s="19" t="s">
        <v>563</v>
      </c>
      <c r="C194" s="20" t="s">
        <v>976</v>
      </c>
      <c r="D194" s="21" t="s">
        <v>986</v>
      </c>
      <c r="E194" s="22">
        <v>76.04</v>
      </c>
      <c r="F194" s="23">
        <v>76.04</v>
      </c>
      <c r="G194" s="24"/>
      <c r="IP194" s="4"/>
      <c r="IQ194" s="4"/>
      <c r="IR194" s="4"/>
      <c r="IS194" s="4"/>
      <c r="IT194" s="4"/>
      <c r="IU194" s="4"/>
    </row>
    <row r="195" s="3" customFormat="1" customHeight="1" spans="1:255">
      <c r="A195" s="19">
        <v>188</v>
      </c>
      <c r="B195" s="19" t="s">
        <v>563</v>
      </c>
      <c r="C195" s="20" t="s">
        <v>976</v>
      </c>
      <c r="D195" s="21" t="s">
        <v>989</v>
      </c>
      <c r="E195" s="22">
        <v>22.18</v>
      </c>
      <c r="F195" s="23">
        <v>22</v>
      </c>
      <c r="G195" s="24"/>
      <c r="IP195" s="4"/>
      <c r="IQ195" s="4"/>
      <c r="IR195" s="4"/>
      <c r="IS195" s="4"/>
      <c r="IT195" s="4"/>
      <c r="IU195" s="4"/>
    </row>
    <row r="196" s="3" customFormat="1" customHeight="1" spans="1:255">
      <c r="A196" s="19">
        <v>189</v>
      </c>
      <c r="B196" s="19" t="s">
        <v>563</v>
      </c>
      <c r="C196" s="20" t="s">
        <v>976</v>
      </c>
      <c r="D196" s="21" t="s">
        <v>990</v>
      </c>
      <c r="E196" s="22">
        <v>563</v>
      </c>
      <c r="F196" s="23">
        <v>563</v>
      </c>
      <c r="G196" s="24"/>
      <c r="IP196" s="4"/>
      <c r="IQ196" s="4"/>
      <c r="IR196" s="4"/>
      <c r="IS196" s="4"/>
      <c r="IT196" s="4"/>
      <c r="IU196" s="4"/>
    </row>
    <row r="197" s="3" customFormat="1" customHeight="1" spans="1:255">
      <c r="A197" s="19">
        <v>190</v>
      </c>
      <c r="B197" s="19" t="s">
        <v>563</v>
      </c>
      <c r="C197" s="20" t="s">
        <v>976</v>
      </c>
      <c r="D197" s="21" t="s">
        <v>991</v>
      </c>
      <c r="E197" s="22">
        <v>400</v>
      </c>
      <c r="F197" s="23"/>
      <c r="G197" s="24"/>
      <c r="IP197" s="4"/>
      <c r="IQ197" s="4"/>
      <c r="IR197" s="4"/>
      <c r="IS197" s="4"/>
      <c r="IT197" s="4"/>
      <c r="IU197" s="4"/>
    </row>
    <row r="198" s="3" customFormat="1" customHeight="1" spans="1:255">
      <c r="A198" s="19">
        <v>191</v>
      </c>
      <c r="B198" s="19" t="s">
        <v>563</v>
      </c>
      <c r="C198" s="20" t="s">
        <v>976</v>
      </c>
      <c r="D198" s="21" t="s">
        <v>994</v>
      </c>
      <c r="E198" s="22">
        <v>28</v>
      </c>
      <c r="F198" s="23"/>
      <c r="G198" s="24"/>
      <c r="IP198" s="4"/>
      <c r="IQ198" s="4"/>
      <c r="IR198" s="4"/>
      <c r="IS198" s="4"/>
      <c r="IT198" s="4"/>
      <c r="IU198" s="4"/>
    </row>
    <row r="199" s="3" customFormat="1" customHeight="1" spans="1:255">
      <c r="A199" s="19">
        <v>192</v>
      </c>
      <c r="B199" s="19" t="s">
        <v>563</v>
      </c>
      <c r="C199" s="20" t="s">
        <v>976</v>
      </c>
      <c r="D199" s="21" t="s">
        <v>995</v>
      </c>
      <c r="E199" s="22">
        <v>70</v>
      </c>
      <c r="F199" s="23"/>
      <c r="G199" s="24"/>
      <c r="IP199" s="4"/>
      <c r="IQ199" s="4"/>
      <c r="IR199" s="4"/>
      <c r="IS199" s="4"/>
      <c r="IT199" s="4"/>
      <c r="IU199" s="4"/>
    </row>
    <row r="200" s="3" customFormat="1" customHeight="1" spans="1:255">
      <c r="A200" s="19">
        <v>193</v>
      </c>
      <c r="B200" s="19" t="s">
        <v>563</v>
      </c>
      <c r="C200" s="20" t="s">
        <v>976</v>
      </c>
      <c r="D200" s="21" t="s">
        <v>999</v>
      </c>
      <c r="E200" s="22">
        <v>38</v>
      </c>
      <c r="F200" s="23"/>
      <c r="G200" s="24"/>
      <c r="IP200" s="4"/>
      <c r="IQ200" s="4"/>
      <c r="IR200" s="4"/>
      <c r="IS200" s="4"/>
      <c r="IT200" s="4"/>
      <c r="IU200" s="4"/>
    </row>
    <row r="201" s="3" customFormat="1" customHeight="1" spans="1:255">
      <c r="A201" s="19">
        <v>194</v>
      </c>
      <c r="B201" s="19" t="s">
        <v>563</v>
      </c>
      <c r="C201" s="20" t="s">
        <v>976</v>
      </c>
      <c r="D201" s="21" t="s">
        <v>1000</v>
      </c>
      <c r="E201" s="22">
        <v>20</v>
      </c>
      <c r="F201" s="23"/>
      <c r="G201" s="24"/>
      <c r="IP201" s="4"/>
      <c r="IQ201" s="4"/>
      <c r="IR201" s="4"/>
      <c r="IS201" s="4"/>
      <c r="IT201" s="4"/>
      <c r="IU201" s="4"/>
    </row>
    <row r="202" s="3" customFormat="1" customHeight="1" spans="1:255">
      <c r="A202" s="19">
        <v>195</v>
      </c>
      <c r="B202" s="19" t="s">
        <v>563</v>
      </c>
      <c r="C202" s="20" t="s">
        <v>976</v>
      </c>
      <c r="D202" s="21" t="s">
        <v>1003</v>
      </c>
      <c r="E202" s="22">
        <v>28</v>
      </c>
      <c r="F202" s="23"/>
      <c r="G202" s="24"/>
      <c r="IP202" s="4"/>
      <c r="IQ202" s="4"/>
      <c r="IR202" s="4"/>
      <c r="IS202" s="4"/>
      <c r="IT202" s="4"/>
      <c r="IU202" s="4"/>
    </row>
    <row r="203" s="3" customFormat="1" customHeight="1" spans="1:255">
      <c r="A203" s="19">
        <v>196</v>
      </c>
      <c r="B203" s="19" t="s">
        <v>563</v>
      </c>
      <c r="C203" s="20" t="s">
        <v>976</v>
      </c>
      <c r="D203" s="21" t="s">
        <v>965</v>
      </c>
      <c r="E203" s="22">
        <v>566</v>
      </c>
      <c r="F203" s="23">
        <v>300</v>
      </c>
      <c r="G203" s="24"/>
      <c r="IP203" s="4"/>
      <c r="IQ203" s="4"/>
      <c r="IR203" s="4"/>
      <c r="IS203" s="4"/>
      <c r="IT203" s="4"/>
      <c r="IU203" s="4"/>
    </row>
    <row r="204" s="3" customFormat="1" customHeight="1" spans="1:255">
      <c r="A204" s="19">
        <v>197</v>
      </c>
      <c r="B204" s="19" t="s">
        <v>521</v>
      </c>
      <c r="C204" s="20" t="s">
        <v>976</v>
      </c>
      <c r="D204" s="21" t="s">
        <v>524</v>
      </c>
      <c r="E204" s="22">
        <v>10.19</v>
      </c>
      <c r="F204" s="23"/>
      <c r="G204" s="24"/>
      <c r="IP204" s="4"/>
      <c r="IQ204" s="4"/>
      <c r="IR204" s="4"/>
      <c r="IS204" s="4"/>
      <c r="IT204" s="4"/>
      <c r="IU204" s="4"/>
    </row>
    <row r="205" s="3" customFormat="1" customHeight="1" spans="1:255">
      <c r="A205" s="19">
        <v>198</v>
      </c>
      <c r="B205" s="19" t="s">
        <v>563</v>
      </c>
      <c r="C205" s="20" t="s">
        <v>976</v>
      </c>
      <c r="D205" s="21" t="s">
        <v>1008</v>
      </c>
      <c r="E205" s="22">
        <v>11</v>
      </c>
      <c r="F205" s="23"/>
      <c r="G205" s="24"/>
      <c r="IP205" s="4"/>
      <c r="IQ205" s="4"/>
      <c r="IR205" s="4"/>
      <c r="IS205" s="4"/>
      <c r="IT205" s="4"/>
      <c r="IU205" s="4"/>
    </row>
    <row r="206" s="3" customFormat="1" customHeight="1" spans="1:255">
      <c r="A206" s="19">
        <v>199</v>
      </c>
      <c r="B206" s="19" t="s">
        <v>563</v>
      </c>
      <c r="C206" s="20" t="s">
        <v>976</v>
      </c>
      <c r="D206" s="21" t="s">
        <v>991</v>
      </c>
      <c r="E206" s="22">
        <v>450</v>
      </c>
      <c r="F206" s="23"/>
      <c r="G206" s="24"/>
      <c r="IP206" s="4"/>
      <c r="IQ206" s="4"/>
      <c r="IR206" s="4"/>
      <c r="IS206" s="4"/>
      <c r="IT206" s="4"/>
      <c r="IU206" s="4"/>
    </row>
    <row r="207" s="3" customFormat="1" customHeight="1" spans="1:255">
      <c r="A207" s="19">
        <v>200</v>
      </c>
      <c r="B207" s="19" t="s">
        <v>563</v>
      </c>
      <c r="C207" s="20" t="s">
        <v>976</v>
      </c>
      <c r="D207" s="21" t="s">
        <v>1018</v>
      </c>
      <c r="E207" s="26">
        <v>8</v>
      </c>
      <c r="F207" s="23">
        <v>8</v>
      </c>
      <c r="G207" s="24"/>
      <c r="IP207" s="4"/>
      <c r="IQ207" s="4"/>
      <c r="IR207" s="4"/>
      <c r="IS207" s="4"/>
      <c r="IT207" s="4"/>
      <c r="IU207" s="4"/>
    </row>
    <row r="208" s="3" customFormat="1" customHeight="1" spans="1:255">
      <c r="A208" s="19">
        <v>201</v>
      </c>
      <c r="B208" s="19" t="s">
        <v>563</v>
      </c>
      <c r="C208" s="20" t="s">
        <v>976</v>
      </c>
      <c r="D208" s="21" t="s">
        <v>1023</v>
      </c>
      <c r="E208" s="22">
        <v>11.05</v>
      </c>
      <c r="F208" s="23">
        <v>11.05</v>
      </c>
      <c r="G208" s="24"/>
      <c r="IP208" s="4"/>
      <c r="IQ208" s="4"/>
      <c r="IR208" s="4"/>
      <c r="IS208" s="4"/>
      <c r="IT208" s="4"/>
      <c r="IU208" s="4"/>
    </row>
    <row r="209" s="3" customFormat="1" customHeight="1" spans="1:255">
      <c r="A209" s="19">
        <v>202</v>
      </c>
      <c r="B209" s="19" t="s">
        <v>611</v>
      </c>
      <c r="C209" s="20" t="s">
        <v>928</v>
      </c>
      <c r="D209" s="21" t="s">
        <v>929</v>
      </c>
      <c r="E209" s="22">
        <v>36</v>
      </c>
      <c r="F209" s="23">
        <v>800</v>
      </c>
      <c r="G209" s="25" t="s">
        <v>1957</v>
      </c>
      <c r="IP209" s="4"/>
      <c r="IQ209" s="4"/>
      <c r="IR209" s="4"/>
      <c r="IS209" s="4"/>
      <c r="IT209" s="4"/>
      <c r="IU209" s="4"/>
    </row>
    <row r="210" s="3" customFormat="1" customHeight="1" spans="1:255">
      <c r="A210" s="19">
        <v>203</v>
      </c>
      <c r="B210" s="19" t="s">
        <v>611</v>
      </c>
      <c r="C210" s="20" t="s">
        <v>928</v>
      </c>
      <c r="D210" s="21" t="s">
        <v>930</v>
      </c>
      <c r="E210" s="22">
        <v>25</v>
      </c>
      <c r="F210" s="23"/>
      <c r="G210" s="25"/>
      <c r="IP210" s="4"/>
      <c r="IQ210" s="4"/>
      <c r="IR210" s="4"/>
      <c r="IS210" s="4"/>
      <c r="IT210" s="4"/>
      <c r="IU210" s="4"/>
    </row>
    <row r="211" s="3" customFormat="1" customHeight="1" spans="1:255">
      <c r="A211" s="19">
        <v>204</v>
      </c>
      <c r="B211" s="19" t="s">
        <v>611</v>
      </c>
      <c r="C211" s="20" t="s">
        <v>928</v>
      </c>
      <c r="D211" s="21" t="s">
        <v>931</v>
      </c>
      <c r="E211" s="22">
        <v>120</v>
      </c>
      <c r="F211" s="23"/>
      <c r="G211" s="25"/>
      <c r="IP211" s="4"/>
      <c r="IQ211" s="4"/>
      <c r="IR211" s="4"/>
      <c r="IS211" s="4"/>
      <c r="IT211" s="4"/>
      <c r="IU211" s="4"/>
    </row>
    <row r="212" s="3" customFormat="1" customHeight="1" spans="1:255">
      <c r="A212" s="19">
        <v>205</v>
      </c>
      <c r="B212" s="19" t="s">
        <v>611</v>
      </c>
      <c r="C212" s="20" t="s">
        <v>928</v>
      </c>
      <c r="D212" s="21" t="s">
        <v>932</v>
      </c>
      <c r="E212" s="22">
        <v>40.96</v>
      </c>
      <c r="F212" s="23"/>
      <c r="G212" s="25"/>
      <c r="IP212" s="4"/>
      <c r="IQ212" s="4"/>
      <c r="IR212" s="4"/>
      <c r="IS212" s="4"/>
      <c r="IT212" s="4"/>
      <c r="IU212" s="4"/>
    </row>
    <row r="213" s="3" customFormat="1" customHeight="1" spans="1:255">
      <c r="A213" s="19">
        <v>206</v>
      </c>
      <c r="B213" s="19" t="s">
        <v>611</v>
      </c>
      <c r="C213" s="20" t="s">
        <v>928</v>
      </c>
      <c r="D213" s="21" t="s">
        <v>933</v>
      </c>
      <c r="E213" s="22">
        <v>47.45</v>
      </c>
      <c r="F213" s="23"/>
      <c r="G213" s="25"/>
      <c r="IP213" s="4"/>
      <c r="IQ213" s="4"/>
      <c r="IR213" s="4"/>
      <c r="IS213" s="4"/>
      <c r="IT213" s="4"/>
      <c r="IU213" s="4"/>
    </row>
    <row r="214" s="3" customFormat="1" customHeight="1" spans="1:255">
      <c r="A214" s="19">
        <v>207</v>
      </c>
      <c r="B214" s="19" t="s">
        <v>611</v>
      </c>
      <c r="C214" s="20" t="s">
        <v>928</v>
      </c>
      <c r="D214" s="21" t="s">
        <v>934</v>
      </c>
      <c r="E214" s="22">
        <v>38.74</v>
      </c>
      <c r="F214" s="23"/>
      <c r="G214" s="25"/>
      <c r="IP214" s="4"/>
      <c r="IQ214" s="4"/>
      <c r="IR214" s="4"/>
      <c r="IS214" s="4"/>
      <c r="IT214" s="4"/>
      <c r="IU214" s="4"/>
    </row>
    <row r="215" s="3" customFormat="1" customHeight="1" spans="1:255">
      <c r="A215" s="19">
        <v>208</v>
      </c>
      <c r="B215" s="19" t="s">
        <v>611</v>
      </c>
      <c r="C215" s="20" t="s">
        <v>928</v>
      </c>
      <c r="D215" s="21" t="s">
        <v>936</v>
      </c>
      <c r="E215" s="22">
        <v>11</v>
      </c>
      <c r="F215" s="23"/>
      <c r="G215" s="25"/>
      <c r="IP215" s="4"/>
      <c r="IQ215" s="4"/>
      <c r="IR215" s="4"/>
      <c r="IS215" s="4"/>
      <c r="IT215" s="4"/>
      <c r="IU215" s="4"/>
    </row>
    <row r="216" s="3" customFormat="1" customHeight="1" spans="1:255">
      <c r="A216" s="19">
        <v>209</v>
      </c>
      <c r="B216" s="19" t="s">
        <v>611</v>
      </c>
      <c r="C216" s="20" t="s">
        <v>928</v>
      </c>
      <c r="D216" s="21" t="s">
        <v>939</v>
      </c>
      <c r="E216" s="22">
        <v>200</v>
      </c>
      <c r="F216" s="23"/>
      <c r="G216" s="25"/>
      <c r="IP216" s="4"/>
      <c r="IQ216" s="4"/>
      <c r="IR216" s="4"/>
      <c r="IS216" s="4"/>
      <c r="IT216" s="4"/>
      <c r="IU216" s="4"/>
    </row>
    <row r="217" s="3" customFormat="1" customHeight="1" spans="1:255">
      <c r="A217" s="19">
        <v>210</v>
      </c>
      <c r="B217" s="19" t="s">
        <v>611</v>
      </c>
      <c r="C217" s="20" t="s">
        <v>928</v>
      </c>
      <c r="D217" s="21" t="s">
        <v>940</v>
      </c>
      <c r="E217" s="22">
        <v>500</v>
      </c>
      <c r="F217" s="23"/>
      <c r="G217" s="25"/>
      <c r="IP217" s="4"/>
      <c r="IQ217" s="4"/>
      <c r="IR217" s="4"/>
      <c r="IS217" s="4"/>
      <c r="IT217" s="4"/>
      <c r="IU217" s="4"/>
    </row>
    <row r="218" s="3" customFormat="1" customHeight="1" spans="1:255">
      <c r="A218" s="19">
        <v>211</v>
      </c>
      <c r="B218" s="19" t="s">
        <v>611</v>
      </c>
      <c r="C218" s="20" t="s">
        <v>928</v>
      </c>
      <c r="D218" s="21" t="s">
        <v>941</v>
      </c>
      <c r="E218" s="22">
        <v>1000</v>
      </c>
      <c r="F218" s="23"/>
      <c r="G218" s="25"/>
      <c r="IP218" s="4"/>
      <c r="IQ218" s="4"/>
      <c r="IR218" s="4"/>
      <c r="IS218" s="4"/>
      <c r="IT218" s="4"/>
      <c r="IU218" s="4"/>
    </row>
    <row r="219" s="3" customFormat="1" customHeight="1" spans="1:255">
      <c r="A219" s="19">
        <v>212</v>
      </c>
      <c r="B219" s="19" t="s">
        <v>611</v>
      </c>
      <c r="C219" s="20" t="s">
        <v>928</v>
      </c>
      <c r="D219" s="21" t="s">
        <v>942</v>
      </c>
      <c r="E219" s="22">
        <v>58.82</v>
      </c>
      <c r="F219" s="23"/>
      <c r="G219" s="25"/>
      <c r="IP219" s="4"/>
      <c r="IQ219" s="4"/>
      <c r="IR219" s="4"/>
      <c r="IS219" s="4"/>
      <c r="IT219" s="4"/>
      <c r="IU219" s="4"/>
    </row>
    <row r="220" s="3" customFormat="1" customHeight="1" spans="1:255">
      <c r="A220" s="19">
        <v>213</v>
      </c>
      <c r="B220" s="19" t="s">
        <v>611</v>
      </c>
      <c r="C220" s="20" t="s">
        <v>928</v>
      </c>
      <c r="D220" s="21" t="s">
        <v>943</v>
      </c>
      <c r="E220" s="22">
        <v>167.85</v>
      </c>
      <c r="F220" s="23"/>
      <c r="G220" s="25"/>
      <c r="IP220" s="4"/>
      <c r="IQ220" s="4"/>
      <c r="IR220" s="4"/>
      <c r="IS220" s="4"/>
      <c r="IT220" s="4"/>
      <c r="IU220" s="4"/>
    </row>
    <row r="221" s="3" customFormat="1" customHeight="1" spans="1:255">
      <c r="A221" s="19">
        <v>214</v>
      </c>
      <c r="B221" s="19" t="s">
        <v>611</v>
      </c>
      <c r="C221" s="20" t="s">
        <v>928</v>
      </c>
      <c r="D221" s="21" t="s">
        <v>944</v>
      </c>
      <c r="E221" s="22">
        <v>57.66</v>
      </c>
      <c r="F221" s="23"/>
      <c r="G221" s="25"/>
      <c r="IP221" s="4"/>
      <c r="IQ221" s="4"/>
      <c r="IR221" s="4"/>
      <c r="IS221" s="4"/>
      <c r="IT221" s="4"/>
      <c r="IU221" s="4"/>
    </row>
    <row r="222" s="3" customFormat="1" customHeight="1" spans="1:255">
      <c r="A222" s="19">
        <v>215</v>
      </c>
      <c r="B222" s="19" t="s">
        <v>611</v>
      </c>
      <c r="C222" s="20" t="s">
        <v>928</v>
      </c>
      <c r="D222" s="21" t="s">
        <v>945</v>
      </c>
      <c r="E222" s="22">
        <v>14</v>
      </c>
      <c r="F222" s="23"/>
      <c r="G222" s="25"/>
      <c r="IP222" s="4"/>
      <c r="IQ222" s="4"/>
      <c r="IR222" s="4"/>
      <c r="IS222" s="4"/>
      <c r="IT222" s="4"/>
      <c r="IU222" s="4"/>
    </row>
    <row r="223" s="3" customFormat="1" customHeight="1" spans="1:255">
      <c r="A223" s="19">
        <v>216</v>
      </c>
      <c r="B223" s="19" t="s">
        <v>611</v>
      </c>
      <c r="C223" s="20" t="s">
        <v>928</v>
      </c>
      <c r="D223" s="21" t="s">
        <v>947</v>
      </c>
      <c r="E223" s="22">
        <v>281.6</v>
      </c>
      <c r="F223" s="23"/>
      <c r="G223" s="25"/>
      <c r="IP223" s="4"/>
      <c r="IQ223" s="4"/>
      <c r="IR223" s="4"/>
      <c r="IS223" s="4"/>
      <c r="IT223" s="4"/>
      <c r="IU223" s="4"/>
    </row>
    <row r="224" s="3" customFormat="1" customHeight="1" spans="1:255">
      <c r="A224" s="19">
        <v>217</v>
      </c>
      <c r="B224" s="19" t="s">
        <v>611</v>
      </c>
      <c r="C224" s="20" t="s">
        <v>928</v>
      </c>
      <c r="D224" s="21" t="s">
        <v>948</v>
      </c>
      <c r="E224" s="22">
        <v>91.1</v>
      </c>
      <c r="F224" s="23"/>
      <c r="G224" s="25"/>
      <c r="IP224" s="4"/>
      <c r="IQ224" s="4"/>
      <c r="IR224" s="4"/>
      <c r="IS224" s="4"/>
      <c r="IT224" s="4"/>
      <c r="IU224" s="4"/>
    </row>
    <row r="225" s="3" customFormat="1" customHeight="1" spans="1:255">
      <c r="A225" s="19">
        <v>218</v>
      </c>
      <c r="B225" s="19" t="s">
        <v>611</v>
      </c>
      <c r="C225" s="20" t="s">
        <v>928</v>
      </c>
      <c r="D225" s="21" t="s">
        <v>949</v>
      </c>
      <c r="E225" s="22">
        <v>298.2</v>
      </c>
      <c r="F225" s="23"/>
      <c r="G225" s="25"/>
      <c r="IP225" s="4"/>
      <c r="IQ225" s="4"/>
      <c r="IR225" s="4"/>
      <c r="IS225" s="4"/>
      <c r="IT225" s="4"/>
      <c r="IU225" s="4"/>
    </row>
    <row r="226" s="3" customFormat="1" customHeight="1" spans="1:255">
      <c r="A226" s="19">
        <v>219</v>
      </c>
      <c r="B226" s="19" t="s">
        <v>611</v>
      </c>
      <c r="C226" s="20" t="s">
        <v>928</v>
      </c>
      <c r="D226" s="21" t="s">
        <v>950</v>
      </c>
      <c r="E226" s="22">
        <v>14</v>
      </c>
      <c r="F226" s="23"/>
      <c r="G226" s="25"/>
      <c r="IP226" s="4"/>
      <c r="IQ226" s="4"/>
      <c r="IR226" s="4"/>
      <c r="IS226" s="4"/>
      <c r="IT226" s="4"/>
      <c r="IU226" s="4"/>
    </row>
    <row r="227" s="3" customFormat="1" customHeight="1" spans="1:255">
      <c r="A227" s="19">
        <v>220</v>
      </c>
      <c r="B227" s="19" t="s">
        <v>611</v>
      </c>
      <c r="C227" s="20" t="s">
        <v>928</v>
      </c>
      <c r="D227" s="21" t="s">
        <v>951</v>
      </c>
      <c r="E227" s="22">
        <v>103</v>
      </c>
      <c r="F227" s="23"/>
      <c r="G227" s="25"/>
      <c r="IP227" s="4"/>
      <c r="IQ227" s="4"/>
      <c r="IR227" s="4"/>
      <c r="IS227" s="4"/>
      <c r="IT227" s="4"/>
      <c r="IU227" s="4"/>
    </row>
    <row r="228" s="3" customFormat="1" customHeight="1" spans="1:255">
      <c r="A228" s="19">
        <v>221</v>
      </c>
      <c r="B228" s="19" t="s">
        <v>611</v>
      </c>
      <c r="C228" s="20" t="s">
        <v>928</v>
      </c>
      <c r="D228" s="21" t="s">
        <v>952</v>
      </c>
      <c r="E228" s="22">
        <v>38.63</v>
      </c>
      <c r="F228" s="23"/>
      <c r="G228" s="25"/>
      <c r="IP228" s="4"/>
      <c r="IQ228" s="4"/>
      <c r="IR228" s="4"/>
      <c r="IS228" s="4"/>
      <c r="IT228" s="4"/>
      <c r="IU228" s="4"/>
    </row>
    <row r="229" s="3" customFormat="1" customHeight="1" spans="1:255">
      <c r="A229" s="19">
        <v>222</v>
      </c>
      <c r="B229" s="19" t="s">
        <v>563</v>
      </c>
      <c r="C229" s="20" t="s">
        <v>928</v>
      </c>
      <c r="D229" s="21" t="s">
        <v>958</v>
      </c>
      <c r="E229" s="22">
        <v>80</v>
      </c>
      <c r="F229" s="23"/>
      <c r="G229" s="25" t="s">
        <v>1958</v>
      </c>
      <c r="IP229" s="4"/>
      <c r="IQ229" s="4"/>
      <c r="IR229" s="4"/>
      <c r="IS229" s="4"/>
      <c r="IT229" s="4"/>
      <c r="IU229" s="4"/>
    </row>
    <row r="230" s="3" customFormat="1" customHeight="1" spans="1:255">
      <c r="A230" s="19">
        <v>223</v>
      </c>
      <c r="B230" s="19" t="s">
        <v>563</v>
      </c>
      <c r="C230" s="20" t="s">
        <v>956</v>
      </c>
      <c r="D230" s="21" t="s">
        <v>957</v>
      </c>
      <c r="E230" s="22">
        <v>30</v>
      </c>
      <c r="F230" s="23"/>
      <c r="G230" s="25"/>
      <c r="IP230" s="4"/>
      <c r="IQ230" s="4"/>
      <c r="IR230" s="4"/>
      <c r="IS230" s="4"/>
      <c r="IT230" s="4"/>
      <c r="IU230" s="4"/>
    </row>
    <row r="231" s="3" customFormat="1" customHeight="1" spans="1:255">
      <c r="A231" s="19">
        <v>224</v>
      </c>
      <c r="B231" s="19" t="s">
        <v>563</v>
      </c>
      <c r="C231" s="20" t="s">
        <v>1543</v>
      </c>
      <c r="D231" s="21" t="s">
        <v>962</v>
      </c>
      <c r="E231" s="22">
        <v>89</v>
      </c>
      <c r="F231" s="23">
        <v>89</v>
      </c>
      <c r="G231" s="24"/>
      <c r="IP231" s="4"/>
      <c r="IQ231" s="4"/>
      <c r="IR231" s="4"/>
      <c r="IS231" s="4"/>
      <c r="IT231" s="4"/>
      <c r="IU231" s="4"/>
    </row>
    <row r="232" s="3" customFormat="1" customHeight="1" spans="1:255">
      <c r="A232" s="19">
        <v>225</v>
      </c>
      <c r="B232" s="19" t="s">
        <v>563</v>
      </c>
      <c r="C232" s="20" t="s">
        <v>1543</v>
      </c>
      <c r="D232" s="21" t="s">
        <v>963</v>
      </c>
      <c r="E232" s="22">
        <v>36</v>
      </c>
      <c r="F232" s="23">
        <v>36</v>
      </c>
      <c r="G232" s="24"/>
      <c r="IP232" s="4"/>
      <c r="IQ232" s="4"/>
      <c r="IR232" s="4"/>
      <c r="IS232" s="4"/>
      <c r="IT232" s="4"/>
      <c r="IU232" s="4"/>
    </row>
    <row r="233" s="3" customFormat="1" customHeight="1" spans="1:255">
      <c r="A233" s="19">
        <v>226</v>
      </c>
      <c r="B233" s="19" t="s">
        <v>563</v>
      </c>
      <c r="C233" s="20" t="s">
        <v>1543</v>
      </c>
      <c r="D233" s="21" t="s">
        <v>965</v>
      </c>
      <c r="E233" s="22">
        <v>245</v>
      </c>
      <c r="F233" s="23"/>
      <c r="G233" s="24"/>
      <c r="IP233" s="4"/>
      <c r="IQ233" s="4"/>
      <c r="IR233" s="4"/>
      <c r="IS233" s="4"/>
      <c r="IT233" s="4"/>
      <c r="IU233" s="4"/>
    </row>
    <row r="234" s="3" customFormat="1" customHeight="1" spans="1:255">
      <c r="A234" s="19">
        <v>227</v>
      </c>
      <c r="B234" s="19" t="s">
        <v>563</v>
      </c>
      <c r="C234" s="20" t="s">
        <v>1543</v>
      </c>
      <c r="D234" s="21" t="s">
        <v>966</v>
      </c>
      <c r="E234" s="22">
        <v>50</v>
      </c>
      <c r="F234" s="23">
        <v>50</v>
      </c>
      <c r="G234" s="24"/>
      <c r="IP234" s="4"/>
      <c r="IQ234" s="4"/>
      <c r="IR234" s="4"/>
      <c r="IS234" s="4"/>
      <c r="IT234" s="4"/>
      <c r="IU234" s="4"/>
    </row>
    <row r="235" s="3" customFormat="1" customHeight="1" spans="1:255">
      <c r="A235" s="19">
        <v>228</v>
      </c>
      <c r="B235" s="19" t="s">
        <v>611</v>
      </c>
      <c r="C235" s="20" t="s">
        <v>967</v>
      </c>
      <c r="D235" s="21" t="s">
        <v>970</v>
      </c>
      <c r="E235" s="22">
        <v>168.82</v>
      </c>
      <c r="F235" s="23">
        <v>100</v>
      </c>
      <c r="G235" s="24"/>
      <c r="IP235" s="4"/>
      <c r="IQ235" s="4"/>
      <c r="IR235" s="4"/>
      <c r="IS235" s="4"/>
      <c r="IT235" s="4"/>
      <c r="IU235" s="4"/>
    </row>
    <row r="236" s="3" customFormat="1" customHeight="1" spans="1:255">
      <c r="A236" s="19">
        <v>229</v>
      </c>
      <c r="B236" s="19" t="s">
        <v>563</v>
      </c>
      <c r="C236" s="20" t="s">
        <v>967</v>
      </c>
      <c r="D236" s="21" t="s">
        <v>971</v>
      </c>
      <c r="E236" s="22">
        <v>100</v>
      </c>
      <c r="F236" s="23">
        <v>80</v>
      </c>
      <c r="G236" s="24"/>
      <c r="IP236" s="4"/>
      <c r="IQ236" s="4"/>
      <c r="IR236" s="4"/>
      <c r="IS236" s="4"/>
      <c r="IT236" s="4"/>
      <c r="IU236" s="4"/>
    </row>
    <row r="237" s="3" customFormat="1" customHeight="1" spans="1:255">
      <c r="A237" s="19">
        <v>230</v>
      </c>
      <c r="B237" s="19" t="s">
        <v>563</v>
      </c>
      <c r="C237" s="20" t="s">
        <v>967</v>
      </c>
      <c r="D237" s="21" t="s">
        <v>965</v>
      </c>
      <c r="E237" s="22">
        <v>100</v>
      </c>
      <c r="F237" s="23">
        <v>50</v>
      </c>
      <c r="G237" s="24"/>
      <c r="IP237" s="4"/>
      <c r="IQ237" s="4"/>
      <c r="IR237" s="4"/>
      <c r="IS237" s="4"/>
      <c r="IT237" s="4"/>
      <c r="IU237" s="4"/>
    </row>
    <row r="238" s="3" customFormat="1" customHeight="1" spans="1:255">
      <c r="A238" s="19">
        <v>231</v>
      </c>
      <c r="B238" s="19" t="s">
        <v>563</v>
      </c>
      <c r="C238" s="20" t="s">
        <v>1030</v>
      </c>
      <c r="D238" s="21" t="s">
        <v>114</v>
      </c>
      <c r="E238" s="22">
        <v>8</v>
      </c>
      <c r="F238" s="23">
        <v>8</v>
      </c>
      <c r="G238" s="24"/>
      <c r="IP238" s="4"/>
      <c r="IQ238" s="4"/>
      <c r="IR238" s="4"/>
      <c r="IS238" s="4"/>
      <c r="IT238" s="4"/>
      <c r="IU238" s="4"/>
    </row>
    <row r="239" s="3" customFormat="1" customHeight="1" spans="1:255">
      <c r="A239" s="19">
        <v>232</v>
      </c>
      <c r="B239" s="19" t="s">
        <v>563</v>
      </c>
      <c r="C239" s="20" t="s">
        <v>1030</v>
      </c>
      <c r="D239" s="21" t="s">
        <v>116</v>
      </c>
      <c r="E239" s="22">
        <v>10</v>
      </c>
      <c r="F239" s="23">
        <v>10</v>
      </c>
      <c r="G239" s="24"/>
      <c r="IP239" s="4"/>
      <c r="IQ239" s="4"/>
      <c r="IR239" s="4"/>
      <c r="IS239" s="4"/>
      <c r="IT239" s="4"/>
      <c r="IU239" s="4"/>
    </row>
    <row r="240" s="3" customFormat="1" customHeight="1" spans="1:255">
      <c r="A240" s="19">
        <v>233</v>
      </c>
      <c r="B240" s="19" t="s">
        <v>653</v>
      </c>
      <c r="C240" s="20" t="s">
        <v>1042</v>
      </c>
      <c r="D240" s="21" t="s">
        <v>1043</v>
      </c>
      <c r="E240" s="22">
        <v>8</v>
      </c>
      <c r="F240" s="23"/>
      <c r="G240" s="24"/>
      <c r="IP240" s="4"/>
      <c r="IQ240" s="4"/>
      <c r="IR240" s="4"/>
      <c r="IS240" s="4"/>
      <c r="IT240" s="4"/>
      <c r="IU240" s="4"/>
    </row>
    <row r="241" s="3" customFormat="1" customHeight="1" spans="1:255">
      <c r="A241" s="19">
        <v>234</v>
      </c>
      <c r="B241" s="19" t="s">
        <v>653</v>
      </c>
      <c r="C241" s="20" t="s">
        <v>1042</v>
      </c>
      <c r="D241" s="21" t="s">
        <v>1044</v>
      </c>
      <c r="E241" s="22">
        <v>4.85</v>
      </c>
      <c r="F241" s="23">
        <v>4.85</v>
      </c>
      <c r="G241" s="24"/>
      <c r="IP241" s="4"/>
      <c r="IQ241" s="4"/>
      <c r="IR241" s="4"/>
      <c r="IS241" s="4"/>
      <c r="IT241" s="4"/>
      <c r="IU241" s="4"/>
    </row>
    <row r="242" s="3" customFormat="1" customHeight="1" spans="1:255">
      <c r="A242" s="19">
        <v>235</v>
      </c>
      <c r="B242" s="19" t="s">
        <v>653</v>
      </c>
      <c r="C242" s="20" t="s">
        <v>1052</v>
      </c>
      <c r="D242" s="21" t="s">
        <v>1054</v>
      </c>
      <c r="E242" s="22">
        <v>300</v>
      </c>
      <c r="F242" s="23">
        <v>100</v>
      </c>
      <c r="G242" s="25" t="s">
        <v>1959</v>
      </c>
      <c r="IP242" s="4"/>
      <c r="IQ242" s="4"/>
      <c r="IR242" s="4"/>
      <c r="IS242" s="4"/>
      <c r="IT242" s="4"/>
      <c r="IU242" s="4"/>
    </row>
    <row r="243" s="3" customFormat="1" customHeight="1" spans="1:255">
      <c r="A243" s="19">
        <v>236</v>
      </c>
      <c r="B243" s="19" t="s">
        <v>653</v>
      </c>
      <c r="C243" s="20" t="s">
        <v>1052</v>
      </c>
      <c r="D243" s="21" t="s">
        <v>1056</v>
      </c>
      <c r="E243" s="22">
        <v>121.2</v>
      </c>
      <c r="F243" s="23"/>
      <c r="G243" s="25"/>
      <c r="IP243" s="4"/>
      <c r="IQ243" s="4"/>
      <c r="IR243" s="4"/>
      <c r="IS243" s="4"/>
      <c r="IT243" s="4"/>
      <c r="IU243" s="4"/>
    </row>
    <row r="244" s="3" customFormat="1" customHeight="1" spans="1:255">
      <c r="A244" s="19">
        <v>237</v>
      </c>
      <c r="B244" s="19" t="s">
        <v>653</v>
      </c>
      <c r="C244" s="20" t="s">
        <v>1052</v>
      </c>
      <c r="D244" s="21" t="s">
        <v>1057</v>
      </c>
      <c r="E244" s="22">
        <v>43.8</v>
      </c>
      <c r="F244" s="23"/>
      <c r="G244" s="25"/>
      <c r="IP244" s="4"/>
      <c r="IQ244" s="4"/>
      <c r="IR244" s="4"/>
      <c r="IS244" s="4"/>
      <c r="IT244" s="4"/>
      <c r="IU244" s="4"/>
    </row>
    <row r="245" s="3" customFormat="1" customHeight="1" spans="1:255">
      <c r="A245" s="19">
        <v>238</v>
      </c>
      <c r="B245" s="19" t="s">
        <v>653</v>
      </c>
      <c r="C245" s="20" t="s">
        <v>1052</v>
      </c>
      <c r="D245" s="21" t="s">
        <v>1058</v>
      </c>
      <c r="E245" s="22">
        <v>65</v>
      </c>
      <c r="F245" s="23"/>
      <c r="G245" s="25"/>
      <c r="IP245" s="4"/>
      <c r="IQ245" s="4"/>
      <c r="IR245" s="4"/>
      <c r="IS245" s="4"/>
      <c r="IT245" s="4"/>
      <c r="IU245" s="4"/>
    </row>
    <row r="246" s="3" customFormat="1" customHeight="1" spans="1:255">
      <c r="A246" s="19">
        <v>239</v>
      </c>
      <c r="B246" s="19" t="s">
        <v>653</v>
      </c>
      <c r="C246" s="20" t="s">
        <v>1052</v>
      </c>
      <c r="D246" s="21" t="s">
        <v>1058</v>
      </c>
      <c r="E246" s="22">
        <v>89</v>
      </c>
      <c r="F246" s="23"/>
      <c r="G246" s="25"/>
      <c r="IP246" s="4"/>
      <c r="IQ246" s="4"/>
      <c r="IR246" s="4"/>
      <c r="IS246" s="4"/>
      <c r="IT246" s="4"/>
      <c r="IU246" s="4"/>
    </row>
    <row r="247" s="3" customFormat="1" customHeight="1" spans="1:255">
      <c r="A247" s="19">
        <v>240</v>
      </c>
      <c r="B247" s="19" t="s">
        <v>653</v>
      </c>
      <c r="C247" s="20" t="s">
        <v>1052</v>
      </c>
      <c r="D247" s="21" t="s">
        <v>1059</v>
      </c>
      <c r="E247" s="22">
        <v>40</v>
      </c>
      <c r="F247" s="23"/>
      <c r="G247" s="25"/>
      <c r="IP247" s="4"/>
      <c r="IQ247" s="4"/>
      <c r="IR247" s="4"/>
      <c r="IS247" s="4"/>
      <c r="IT247" s="4"/>
      <c r="IU247" s="4"/>
    </row>
    <row r="248" s="3" customFormat="1" customHeight="1" spans="1:255">
      <c r="A248" s="19">
        <v>241</v>
      </c>
      <c r="B248" s="19" t="s">
        <v>653</v>
      </c>
      <c r="C248" s="20" t="s">
        <v>1052</v>
      </c>
      <c r="D248" s="21" t="s">
        <v>1060</v>
      </c>
      <c r="E248" s="22">
        <v>207</v>
      </c>
      <c r="F248" s="23"/>
      <c r="G248" s="25"/>
      <c r="IP248" s="4"/>
      <c r="IQ248" s="4"/>
      <c r="IR248" s="4"/>
      <c r="IS248" s="4"/>
      <c r="IT248" s="4"/>
      <c r="IU248" s="4"/>
    </row>
    <row r="249" s="3" customFormat="1" customHeight="1" spans="1:255">
      <c r="A249" s="19">
        <v>242</v>
      </c>
      <c r="B249" s="19" t="s">
        <v>653</v>
      </c>
      <c r="C249" s="20" t="s">
        <v>1062</v>
      </c>
      <c r="D249" s="21" t="s">
        <v>1063</v>
      </c>
      <c r="E249" s="22">
        <v>100</v>
      </c>
      <c r="F249" s="23"/>
      <c r="G249" s="25"/>
      <c r="IP249" s="4"/>
      <c r="IQ249" s="4"/>
      <c r="IR249" s="4"/>
      <c r="IS249" s="4"/>
      <c r="IT249" s="4"/>
      <c r="IU249" s="4"/>
    </row>
    <row r="250" s="3" customFormat="1" customHeight="1" spans="1:255">
      <c r="A250" s="19">
        <v>243</v>
      </c>
      <c r="B250" s="19" t="s">
        <v>563</v>
      </c>
      <c r="C250" s="20" t="s">
        <v>1064</v>
      </c>
      <c r="D250" s="21" t="s">
        <v>1065</v>
      </c>
      <c r="E250" s="22">
        <v>35</v>
      </c>
      <c r="F250" s="23"/>
      <c r="G250" s="24"/>
      <c r="IP250" s="4"/>
      <c r="IQ250" s="4"/>
      <c r="IR250" s="4"/>
      <c r="IS250" s="4"/>
      <c r="IT250" s="4"/>
      <c r="IU250" s="4"/>
    </row>
    <row r="251" s="3" customFormat="1" customHeight="1" spans="1:255">
      <c r="A251" s="19">
        <v>244</v>
      </c>
      <c r="B251" s="19" t="s">
        <v>563</v>
      </c>
      <c r="C251" s="20" t="s">
        <v>1064</v>
      </c>
      <c r="D251" s="21" t="s">
        <v>1065</v>
      </c>
      <c r="E251" s="22">
        <v>35</v>
      </c>
      <c r="F251" s="23"/>
      <c r="G251" s="24"/>
      <c r="IP251" s="4"/>
      <c r="IQ251" s="4"/>
      <c r="IR251" s="4"/>
      <c r="IS251" s="4"/>
      <c r="IT251" s="4"/>
      <c r="IU251" s="4"/>
    </row>
    <row r="252" s="3" customFormat="1" customHeight="1" spans="1:255">
      <c r="A252" s="19">
        <v>245</v>
      </c>
      <c r="B252" s="19" t="s">
        <v>563</v>
      </c>
      <c r="C252" s="20" t="s">
        <v>1075</v>
      </c>
      <c r="D252" s="21" t="s">
        <v>1077</v>
      </c>
      <c r="E252" s="22">
        <v>21.3</v>
      </c>
      <c r="F252" s="23">
        <v>21.3</v>
      </c>
      <c r="G252" s="24"/>
      <c r="IP252" s="4"/>
      <c r="IQ252" s="4"/>
      <c r="IR252" s="4"/>
      <c r="IS252" s="4"/>
      <c r="IT252" s="4"/>
      <c r="IU252" s="4"/>
    </row>
    <row r="253" s="3" customFormat="1" customHeight="1" spans="1:255">
      <c r="A253" s="19">
        <v>246</v>
      </c>
      <c r="B253" s="19" t="s">
        <v>563</v>
      </c>
      <c r="C253" s="20" t="s">
        <v>1075</v>
      </c>
      <c r="D253" s="21" t="s">
        <v>1078</v>
      </c>
      <c r="E253" s="22">
        <v>20</v>
      </c>
      <c r="F253" s="23">
        <v>10</v>
      </c>
      <c r="G253" s="24"/>
      <c r="IP253" s="4"/>
      <c r="IQ253" s="4"/>
      <c r="IR253" s="4"/>
      <c r="IS253" s="4"/>
      <c r="IT253" s="4"/>
      <c r="IU253" s="4"/>
    </row>
    <row r="254" s="3" customFormat="1" customHeight="1" spans="1:255">
      <c r="A254" s="19">
        <v>247</v>
      </c>
      <c r="B254" s="19" t="s">
        <v>653</v>
      </c>
      <c r="C254" s="20" t="s">
        <v>1080</v>
      </c>
      <c r="D254" s="21" t="s">
        <v>1087</v>
      </c>
      <c r="E254" s="22">
        <v>13.18</v>
      </c>
      <c r="F254" s="23"/>
      <c r="G254" s="24"/>
      <c r="IP254" s="4"/>
      <c r="IQ254" s="4"/>
      <c r="IR254" s="4"/>
      <c r="IS254" s="4"/>
      <c r="IT254" s="4"/>
      <c r="IU254" s="4"/>
    </row>
    <row r="255" s="3" customFormat="1" customHeight="1" spans="1:255">
      <c r="A255" s="19">
        <v>248</v>
      </c>
      <c r="B255" s="19" t="s">
        <v>653</v>
      </c>
      <c r="C255" s="20" t="s">
        <v>1080</v>
      </c>
      <c r="D255" s="21" t="s">
        <v>1088</v>
      </c>
      <c r="E255" s="22">
        <v>28</v>
      </c>
      <c r="F255" s="23">
        <v>28</v>
      </c>
      <c r="G255" s="24"/>
      <c r="IP255" s="4"/>
      <c r="IQ255" s="4"/>
      <c r="IR255" s="4"/>
      <c r="IS255" s="4"/>
      <c r="IT255" s="4"/>
      <c r="IU255" s="4"/>
    </row>
    <row r="256" s="3" customFormat="1" customHeight="1" spans="1:255">
      <c r="A256" s="19">
        <v>249</v>
      </c>
      <c r="B256" s="19" t="s">
        <v>653</v>
      </c>
      <c r="C256" s="20" t="s">
        <v>1092</v>
      </c>
      <c r="D256" s="21" t="s">
        <v>1093</v>
      </c>
      <c r="E256" s="22">
        <v>10</v>
      </c>
      <c r="F256" s="23">
        <v>10</v>
      </c>
      <c r="G256" s="24"/>
      <c r="IP256" s="4"/>
      <c r="IQ256" s="4"/>
      <c r="IR256" s="4"/>
      <c r="IS256" s="4"/>
      <c r="IT256" s="4"/>
      <c r="IU256" s="4"/>
    </row>
    <row r="257" s="3" customFormat="1" customHeight="1" spans="1:255">
      <c r="A257" s="19">
        <v>250</v>
      </c>
      <c r="B257" s="19" t="s">
        <v>653</v>
      </c>
      <c r="C257" s="20" t="s">
        <v>1092</v>
      </c>
      <c r="D257" s="21" t="s">
        <v>1095</v>
      </c>
      <c r="E257" s="22">
        <v>26</v>
      </c>
      <c r="F257" s="23">
        <v>26</v>
      </c>
      <c r="G257" s="24"/>
      <c r="IP257" s="4"/>
      <c r="IQ257" s="4"/>
      <c r="IR257" s="4"/>
      <c r="IS257" s="4"/>
      <c r="IT257" s="4"/>
      <c r="IU257" s="4"/>
    </row>
    <row r="258" s="3" customFormat="1" customHeight="1" spans="1:255">
      <c r="A258" s="19">
        <v>251</v>
      </c>
      <c r="B258" s="19" t="s">
        <v>653</v>
      </c>
      <c r="C258" s="20" t="s">
        <v>1092</v>
      </c>
      <c r="D258" s="21" t="s">
        <v>1098</v>
      </c>
      <c r="E258" s="22">
        <v>80</v>
      </c>
      <c r="F258" s="23">
        <v>100</v>
      </c>
      <c r="G258" s="25" t="s">
        <v>1960</v>
      </c>
      <c r="IP258" s="4"/>
      <c r="IQ258" s="4"/>
      <c r="IR258" s="4"/>
      <c r="IS258" s="4"/>
      <c r="IT258" s="4"/>
      <c r="IU258" s="4"/>
    </row>
    <row r="259" s="3" customFormat="1" customHeight="1" spans="1:255">
      <c r="A259" s="19">
        <v>252</v>
      </c>
      <c r="B259" s="19" t="s">
        <v>653</v>
      </c>
      <c r="C259" s="20" t="s">
        <v>1092</v>
      </c>
      <c r="D259" s="21" t="s">
        <v>1099</v>
      </c>
      <c r="E259" s="22">
        <v>10</v>
      </c>
      <c r="F259" s="23"/>
      <c r="G259" s="25"/>
      <c r="IP259" s="4"/>
      <c r="IQ259" s="4"/>
      <c r="IR259" s="4"/>
      <c r="IS259" s="4"/>
      <c r="IT259" s="4"/>
      <c r="IU259" s="4"/>
    </row>
    <row r="260" s="3" customFormat="1" customHeight="1" spans="1:255">
      <c r="A260" s="19">
        <v>253</v>
      </c>
      <c r="B260" s="19" t="s">
        <v>653</v>
      </c>
      <c r="C260" s="20" t="s">
        <v>1092</v>
      </c>
      <c r="D260" s="21" t="s">
        <v>1100</v>
      </c>
      <c r="E260" s="22">
        <v>300</v>
      </c>
      <c r="F260" s="23"/>
      <c r="G260" s="25"/>
      <c r="IP260" s="4"/>
      <c r="IQ260" s="4"/>
      <c r="IR260" s="4"/>
      <c r="IS260" s="4"/>
      <c r="IT260" s="4"/>
      <c r="IU260" s="4"/>
    </row>
    <row r="261" s="3" customFormat="1" customHeight="1" spans="1:255">
      <c r="A261" s="19">
        <v>254</v>
      </c>
      <c r="B261" s="19" t="s">
        <v>653</v>
      </c>
      <c r="C261" s="20" t="s">
        <v>1092</v>
      </c>
      <c r="D261" s="21" t="s">
        <v>1102</v>
      </c>
      <c r="E261" s="22">
        <v>120</v>
      </c>
      <c r="F261" s="23"/>
      <c r="G261" s="24"/>
      <c r="IP261" s="4"/>
      <c r="IQ261" s="4"/>
      <c r="IR261" s="4"/>
      <c r="IS261" s="4"/>
      <c r="IT261" s="4"/>
      <c r="IU261" s="4"/>
    </row>
    <row r="262" s="3" customFormat="1" customHeight="1" spans="1:255">
      <c r="A262" s="19">
        <v>255</v>
      </c>
      <c r="B262" s="19" t="s">
        <v>521</v>
      </c>
      <c r="C262" s="20" t="s">
        <v>1105</v>
      </c>
      <c r="D262" s="21" t="s">
        <v>1109</v>
      </c>
      <c r="E262" s="22">
        <v>16.92</v>
      </c>
      <c r="F262" s="23">
        <v>16.92</v>
      </c>
      <c r="G262" s="24"/>
      <c r="IP262" s="4"/>
      <c r="IQ262" s="4"/>
      <c r="IR262" s="4"/>
      <c r="IS262" s="4"/>
      <c r="IT262" s="4"/>
      <c r="IU262" s="4"/>
    </row>
    <row r="263" s="3" customFormat="1" customHeight="1" spans="1:255">
      <c r="A263" s="19">
        <v>256</v>
      </c>
      <c r="B263" s="19" t="s">
        <v>521</v>
      </c>
      <c r="C263" s="20" t="s">
        <v>1105</v>
      </c>
      <c r="D263" s="21" t="s">
        <v>1112</v>
      </c>
      <c r="E263" s="22">
        <v>10</v>
      </c>
      <c r="F263" s="23">
        <v>10</v>
      </c>
      <c r="G263" s="24"/>
      <c r="IP263" s="4"/>
      <c r="IQ263" s="4"/>
      <c r="IR263" s="4"/>
      <c r="IS263" s="4"/>
      <c r="IT263" s="4"/>
      <c r="IU263" s="4"/>
    </row>
    <row r="264" s="3" customFormat="1" customHeight="1" spans="1:255">
      <c r="A264" s="19">
        <v>257</v>
      </c>
      <c r="B264" s="19" t="s">
        <v>516</v>
      </c>
      <c r="C264" s="20" t="s">
        <v>1114</v>
      </c>
      <c r="D264" s="21" t="s">
        <v>1118</v>
      </c>
      <c r="E264" s="22">
        <v>0.74</v>
      </c>
      <c r="F264" s="23">
        <v>0.74</v>
      </c>
      <c r="G264" s="24"/>
      <c r="IP264" s="4"/>
      <c r="IQ264" s="4"/>
      <c r="IR264" s="4"/>
      <c r="IS264" s="4"/>
      <c r="IT264" s="4"/>
      <c r="IU264" s="4"/>
    </row>
    <row r="265" s="3" customFormat="1" customHeight="1" spans="1:255">
      <c r="A265" s="19">
        <v>258</v>
      </c>
      <c r="B265" s="19" t="s">
        <v>516</v>
      </c>
      <c r="C265" s="20" t="s">
        <v>1114</v>
      </c>
      <c r="D265" s="21" t="s">
        <v>1124</v>
      </c>
      <c r="E265" s="22">
        <v>4.1</v>
      </c>
      <c r="F265" s="23">
        <v>4.1</v>
      </c>
      <c r="G265" s="24"/>
      <c r="IP265" s="4"/>
      <c r="IQ265" s="4"/>
      <c r="IR265" s="4"/>
      <c r="IS265" s="4"/>
      <c r="IT265" s="4"/>
      <c r="IU265" s="4"/>
    </row>
    <row r="266" s="3" customFormat="1" customHeight="1" spans="1:255">
      <c r="A266" s="19">
        <v>259</v>
      </c>
      <c r="B266" s="19" t="s">
        <v>540</v>
      </c>
      <c r="C266" s="20" t="s">
        <v>1114</v>
      </c>
      <c r="D266" s="21" t="s">
        <v>1139</v>
      </c>
      <c r="E266" s="22">
        <v>3</v>
      </c>
      <c r="F266" s="23">
        <v>3</v>
      </c>
      <c r="G266" s="24"/>
      <c r="IP266" s="4"/>
      <c r="IQ266" s="4"/>
      <c r="IR266" s="4"/>
      <c r="IS266" s="4"/>
      <c r="IT266" s="4"/>
      <c r="IU266" s="4"/>
    </row>
    <row r="267" s="3" customFormat="1" customHeight="1" spans="1:255">
      <c r="A267" s="19">
        <v>260</v>
      </c>
      <c r="B267" s="19" t="s">
        <v>540</v>
      </c>
      <c r="C267" s="20" t="s">
        <v>1114</v>
      </c>
      <c r="D267" s="21" t="s">
        <v>1140</v>
      </c>
      <c r="E267" s="22">
        <v>490</v>
      </c>
      <c r="F267" s="23">
        <v>490</v>
      </c>
      <c r="G267" s="24"/>
      <c r="IP267" s="4"/>
      <c r="IQ267" s="4"/>
      <c r="IR267" s="4"/>
      <c r="IS267" s="4"/>
      <c r="IT267" s="4"/>
      <c r="IU267" s="4"/>
    </row>
    <row r="268" s="3" customFormat="1" customHeight="1" spans="1:255">
      <c r="A268" s="19">
        <v>261</v>
      </c>
      <c r="B268" s="19" t="s">
        <v>563</v>
      </c>
      <c r="C268" s="20" t="s">
        <v>1162</v>
      </c>
      <c r="D268" s="21" t="s">
        <v>1170</v>
      </c>
      <c r="E268" s="22">
        <v>16</v>
      </c>
      <c r="F268" s="23">
        <v>10</v>
      </c>
      <c r="G268" s="24"/>
      <c r="IP268" s="4"/>
      <c r="IQ268" s="4"/>
      <c r="IR268" s="4"/>
      <c r="IS268" s="4"/>
      <c r="IT268" s="4"/>
      <c r="IU268" s="4"/>
    </row>
    <row r="269" s="3" customFormat="1" customHeight="1" spans="1:255">
      <c r="A269" s="19">
        <v>262</v>
      </c>
      <c r="B269" s="19" t="s">
        <v>598</v>
      </c>
      <c r="C269" s="20" t="s">
        <v>1162</v>
      </c>
      <c r="D269" s="21" t="s">
        <v>1175</v>
      </c>
      <c r="E269" s="22">
        <v>25</v>
      </c>
      <c r="F269" s="23">
        <v>25</v>
      </c>
      <c r="G269" s="24"/>
      <c r="IP269" s="4"/>
      <c r="IQ269" s="4"/>
      <c r="IR269" s="4"/>
      <c r="IS269" s="4"/>
      <c r="IT269" s="4"/>
      <c r="IU269" s="4"/>
    </row>
    <row r="270" s="3" customFormat="1" customHeight="1" spans="1:255">
      <c r="A270" s="19">
        <v>263</v>
      </c>
      <c r="B270" s="19" t="s">
        <v>653</v>
      </c>
      <c r="C270" s="20" t="s">
        <v>1176</v>
      </c>
      <c r="D270" s="21" t="s">
        <v>1177</v>
      </c>
      <c r="E270" s="22">
        <v>7.53</v>
      </c>
      <c r="F270" s="23">
        <v>7.53</v>
      </c>
      <c r="G270" s="24"/>
      <c r="IP270" s="4"/>
      <c r="IQ270" s="4"/>
      <c r="IR270" s="4"/>
      <c r="IS270" s="4"/>
      <c r="IT270" s="4"/>
      <c r="IU270" s="4"/>
    </row>
    <row r="271" s="3" customFormat="1" customHeight="1" spans="1:255">
      <c r="A271" s="19">
        <v>264</v>
      </c>
      <c r="B271" s="19" t="s">
        <v>653</v>
      </c>
      <c r="C271" s="20" t="s">
        <v>1176</v>
      </c>
      <c r="D271" s="21" t="s">
        <v>1178</v>
      </c>
      <c r="E271" s="22">
        <v>4.2</v>
      </c>
      <c r="F271" s="23">
        <v>4.2</v>
      </c>
      <c r="G271" s="24"/>
      <c r="IP271" s="4"/>
      <c r="IQ271" s="4"/>
      <c r="IR271" s="4"/>
      <c r="IS271" s="4"/>
      <c r="IT271" s="4"/>
      <c r="IU271" s="4"/>
    </row>
    <row r="272" s="3" customFormat="1" customHeight="1" spans="1:255">
      <c r="A272" s="19">
        <v>265</v>
      </c>
      <c r="B272" s="19" t="s">
        <v>563</v>
      </c>
      <c r="C272" s="20" t="s">
        <v>1185</v>
      </c>
      <c r="D272" s="21" t="s">
        <v>1186</v>
      </c>
      <c r="E272" s="22">
        <v>40</v>
      </c>
      <c r="F272" s="23">
        <v>40</v>
      </c>
      <c r="G272" s="24"/>
      <c r="IP272" s="4"/>
      <c r="IQ272" s="4"/>
      <c r="IR272" s="4"/>
      <c r="IS272" s="4"/>
      <c r="IT272" s="4"/>
      <c r="IU272" s="4"/>
    </row>
    <row r="273" s="3" customFormat="1" customHeight="1" spans="1:255">
      <c r="A273" s="19">
        <v>266</v>
      </c>
      <c r="B273" s="19" t="s">
        <v>563</v>
      </c>
      <c r="C273" s="20" t="s">
        <v>1185</v>
      </c>
      <c r="D273" s="21" t="s">
        <v>1187</v>
      </c>
      <c r="E273" s="22">
        <v>209.32</v>
      </c>
      <c r="F273" s="23">
        <v>209.32</v>
      </c>
      <c r="G273" s="24"/>
      <c r="IP273" s="4"/>
      <c r="IQ273" s="4"/>
      <c r="IR273" s="4"/>
      <c r="IS273" s="4"/>
      <c r="IT273" s="4"/>
      <c r="IU273" s="4"/>
    </row>
    <row r="274" s="3" customFormat="1" customHeight="1" spans="1:255">
      <c r="A274" s="19">
        <v>267</v>
      </c>
      <c r="B274" s="19" t="s">
        <v>563</v>
      </c>
      <c r="C274" s="20" t="s">
        <v>1185</v>
      </c>
      <c r="D274" s="21" t="s">
        <v>1188</v>
      </c>
      <c r="E274" s="22">
        <v>11.58</v>
      </c>
      <c r="F274" s="23">
        <v>11.58</v>
      </c>
      <c r="G274" s="24"/>
      <c r="IP274" s="4"/>
      <c r="IQ274" s="4"/>
      <c r="IR274" s="4"/>
      <c r="IS274" s="4"/>
      <c r="IT274" s="4"/>
      <c r="IU274" s="4"/>
    </row>
    <row r="275" s="3" customFormat="1" customHeight="1" spans="1:255">
      <c r="A275" s="19">
        <v>268</v>
      </c>
      <c r="B275" s="19" t="s">
        <v>563</v>
      </c>
      <c r="C275" s="20" t="s">
        <v>1185</v>
      </c>
      <c r="D275" s="21" t="s">
        <v>1190</v>
      </c>
      <c r="E275" s="22">
        <v>95</v>
      </c>
      <c r="F275" s="23">
        <v>95</v>
      </c>
      <c r="G275" s="24"/>
      <c r="IP275" s="4"/>
      <c r="IQ275" s="4"/>
      <c r="IR275" s="4"/>
      <c r="IS275" s="4"/>
      <c r="IT275" s="4"/>
      <c r="IU275" s="4"/>
    </row>
    <row r="276" s="3" customFormat="1" customHeight="1" spans="1:255">
      <c r="A276" s="19">
        <v>269</v>
      </c>
      <c r="B276" s="19" t="s">
        <v>563</v>
      </c>
      <c r="C276" s="20" t="s">
        <v>1185</v>
      </c>
      <c r="D276" s="21" t="s">
        <v>1150</v>
      </c>
      <c r="E276" s="22">
        <v>500</v>
      </c>
      <c r="F276" s="23">
        <v>500</v>
      </c>
      <c r="G276" s="24"/>
      <c r="IP276" s="4"/>
      <c r="IQ276" s="4"/>
      <c r="IR276" s="4"/>
      <c r="IS276" s="4"/>
      <c r="IT276" s="4"/>
      <c r="IU276" s="4"/>
    </row>
    <row r="277" s="3" customFormat="1" customHeight="1" spans="1:255">
      <c r="A277" s="19">
        <v>270</v>
      </c>
      <c r="B277" s="19" t="s">
        <v>563</v>
      </c>
      <c r="C277" s="20" t="s">
        <v>1185</v>
      </c>
      <c r="D277" s="21" t="s">
        <v>1150</v>
      </c>
      <c r="E277" s="22">
        <v>566.43</v>
      </c>
      <c r="F277" s="23"/>
      <c r="G277" s="24"/>
      <c r="IP277" s="4"/>
      <c r="IQ277" s="4"/>
      <c r="IR277" s="4"/>
      <c r="IS277" s="4"/>
      <c r="IT277" s="4"/>
      <c r="IU277" s="4"/>
    </row>
    <row r="278" s="3" customFormat="1" customHeight="1" spans="1:255">
      <c r="A278" s="19">
        <v>271</v>
      </c>
      <c r="B278" s="19" t="s">
        <v>563</v>
      </c>
      <c r="C278" s="20" t="s">
        <v>1185</v>
      </c>
      <c r="D278" s="21" t="s">
        <v>1193</v>
      </c>
      <c r="E278" s="22">
        <v>87</v>
      </c>
      <c r="F278" s="23">
        <v>87</v>
      </c>
      <c r="G278" s="24"/>
      <c r="IP278" s="4"/>
      <c r="IQ278" s="4"/>
      <c r="IR278" s="4"/>
      <c r="IS278" s="4"/>
      <c r="IT278" s="4"/>
      <c r="IU278" s="4"/>
    </row>
    <row r="65165" s="4" customFormat="1" customHeight="1"/>
    <row r="65166" s="4" customFormat="1" customHeight="1"/>
    <row r="65167" s="4" customFormat="1" customHeight="1"/>
    <row r="65168" s="4" customFormat="1" customHeight="1"/>
    <row r="65169" s="4" customFormat="1" customHeight="1"/>
    <row r="65170" s="4" customFormat="1" customHeight="1"/>
    <row r="65171" s="4" customFormat="1" customHeight="1"/>
    <row r="65172" s="4" customFormat="1" customHeight="1"/>
    <row r="65173" s="4" customFormat="1" customHeight="1"/>
    <row r="65174" s="4" customFormat="1" customHeight="1"/>
    <row r="65175" s="4" customFormat="1" customHeight="1"/>
    <row r="65176" s="4" customFormat="1" customHeight="1"/>
    <row r="65177" s="4" customFormat="1" customHeight="1"/>
    <row r="65178" s="4" customFormat="1" customHeight="1"/>
    <row r="65179" s="4" customFormat="1" customHeight="1"/>
    <row r="65180" s="4" customFormat="1" customHeight="1"/>
    <row r="65181" s="4" customFormat="1" customHeight="1"/>
    <row r="65182" s="4" customFormat="1" customHeight="1"/>
    <row r="65183" s="4" customFormat="1" customHeight="1"/>
    <row r="65184" s="4" customFormat="1" customHeight="1"/>
    <row r="65185" s="4" customFormat="1" customHeight="1"/>
    <row r="65186" s="4" customFormat="1" customHeight="1"/>
    <row r="65187" s="4" customFormat="1" customHeight="1"/>
    <row r="65188" s="4" customFormat="1" customHeight="1"/>
    <row r="65189" s="4" customFormat="1" customHeight="1"/>
    <row r="65190" s="4" customFormat="1" customHeight="1"/>
    <row r="65191" s="4" customFormat="1" customHeight="1"/>
    <row r="65192" s="4" customFormat="1" customHeight="1"/>
    <row r="65193" s="4" customFormat="1" customHeight="1"/>
    <row r="65194" s="4" customFormat="1" customHeight="1"/>
    <row r="65195" s="4" customFormat="1" customHeight="1"/>
    <row r="65196" s="4" customFormat="1" customHeight="1"/>
    <row r="65197" s="4" customFormat="1" customHeight="1"/>
    <row r="65198" s="4" customFormat="1" customHeight="1"/>
    <row r="65199" s="4" customFormat="1" customHeight="1"/>
    <row r="65200" s="4" customFormat="1" customHeight="1"/>
    <row r="65201" s="4" customFormat="1" customHeight="1"/>
    <row r="65202" s="4" customFormat="1" customHeight="1"/>
    <row r="65203" s="4" customFormat="1" customHeight="1"/>
    <row r="65204" s="4" customFormat="1" customHeight="1"/>
    <row r="65205" s="4" customFormat="1" customHeight="1"/>
    <row r="65206" s="4" customFormat="1" customHeight="1"/>
    <row r="65207" s="4" customFormat="1" customHeight="1"/>
    <row r="65208" s="4" customFormat="1" customHeight="1"/>
    <row r="65209" s="4" customFormat="1" customHeight="1"/>
    <row r="65210" s="4" customFormat="1" customHeight="1"/>
    <row r="65211" s="4" customFormat="1" customHeight="1"/>
    <row r="65212" s="4" customFormat="1" customHeight="1"/>
    <row r="65213" s="4" customFormat="1" customHeight="1"/>
    <row r="65214" s="4" customFormat="1" customHeight="1"/>
    <row r="65215" s="4" customFormat="1" customHeight="1"/>
    <row r="65216" s="4" customFormat="1" customHeight="1"/>
    <row r="65217" s="4" customFormat="1" customHeight="1"/>
    <row r="65218" s="4" customFormat="1" customHeight="1"/>
    <row r="65219" s="4" customFormat="1" customHeight="1"/>
    <row r="65220" s="4" customFormat="1" customHeight="1"/>
    <row r="65221" s="4" customFormat="1" customHeight="1"/>
    <row r="65222" s="4" customFormat="1" customHeight="1"/>
    <row r="65223" s="4" customFormat="1" customHeight="1"/>
    <row r="65224" s="4" customFormat="1" customHeight="1"/>
    <row r="65225" s="4" customFormat="1" customHeight="1"/>
    <row r="65226" s="4" customFormat="1" customHeight="1"/>
    <row r="65227" s="4" customFormat="1" customHeight="1"/>
    <row r="65228" s="4" customFormat="1" customHeight="1"/>
    <row r="65229" s="4" customFormat="1" customHeight="1"/>
    <row r="65230" s="4" customFormat="1" customHeight="1"/>
    <row r="65231" s="4" customFormat="1" customHeight="1"/>
    <row r="65232" s="4" customFormat="1" customHeight="1"/>
    <row r="65233" s="4" customFormat="1" customHeight="1"/>
    <row r="65234" s="4" customFormat="1" customHeight="1"/>
    <row r="65235" s="4" customFormat="1" customHeight="1"/>
    <row r="65236" s="4" customFormat="1" customHeight="1"/>
    <row r="65237" s="4" customFormat="1" customHeight="1"/>
    <row r="65238" s="4" customFormat="1" customHeight="1"/>
    <row r="65239" s="4" customFormat="1" customHeight="1"/>
    <row r="65240" s="4" customFormat="1" customHeight="1"/>
    <row r="65241" s="4" customFormat="1" customHeight="1"/>
    <row r="65242" s="4" customFormat="1" customHeight="1"/>
    <row r="65243" s="4" customFormat="1" customHeight="1"/>
    <row r="65244" s="4" customFormat="1" customHeight="1"/>
    <row r="65245" s="4" customFormat="1" customHeight="1"/>
    <row r="65246" s="4" customFormat="1" customHeight="1"/>
    <row r="65247" s="4" customFormat="1" customHeight="1"/>
    <row r="65248" s="4" customFormat="1" customHeight="1"/>
    <row r="65249" s="4" customFormat="1" customHeight="1"/>
    <row r="65250" s="4" customFormat="1" customHeight="1"/>
    <row r="65251" s="4" customFormat="1" customHeight="1"/>
    <row r="65252" s="4" customFormat="1" customHeight="1"/>
    <row r="65253" s="4" customFormat="1" customHeight="1"/>
    <row r="65254" s="4" customFormat="1" customHeight="1"/>
    <row r="65255" s="4" customFormat="1" customHeight="1"/>
    <row r="65256" s="4" customFormat="1" customHeight="1"/>
    <row r="65257" s="4" customFormat="1" customHeight="1"/>
    <row r="65258" s="4" customFormat="1" customHeight="1"/>
    <row r="65259" s="4" customFormat="1" customHeight="1"/>
    <row r="65260" s="4" customFormat="1" customHeight="1"/>
    <row r="65261" s="4" customFormat="1" customHeight="1"/>
    <row r="65262" s="4" customFormat="1" customHeight="1"/>
    <row r="65263" s="4" customFormat="1" customHeight="1"/>
    <row r="65264" s="4" customFormat="1" customHeight="1"/>
    <row r="65265" s="4" customFormat="1" customHeight="1"/>
    <row r="65266" s="4" customFormat="1" customHeight="1"/>
    <row r="65267" s="4" customFormat="1" customHeight="1"/>
    <row r="65268" s="4" customFormat="1" customHeight="1"/>
    <row r="65269" s="4" customFormat="1" customHeight="1"/>
    <row r="65270" s="4" customFormat="1" customHeight="1"/>
    <row r="65271" s="4" customFormat="1" customHeight="1"/>
    <row r="65272" s="4" customFormat="1" customHeight="1"/>
    <row r="65273" s="4" customFormat="1" customHeight="1"/>
    <row r="65274" s="4" customFormat="1" customHeight="1"/>
    <row r="65275" s="4" customFormat="1" customHeight="1"/>
    <row r="65276" s="4" customFormat="1" customHeight="1"/>
    <row r="65277" s="4" customFormat="1" customHeight="1"/>
    <row r="65278" s="4" customFormat="1" customHeight="1"/>
    <row r="65279" s="4" customFormat="1" customHeight="1"/>
    <row r="65280" s="4" customFormat="1" customHeight="1"/>
    <row r="65281" s="4" customFormat="1" customHeight="1"/>
    <row r="65282" s="4" customFormat="1" customHeight="1"/>
    <row r="65283" s="4" customFormat="1" customHeight="1"/>
    <row r="65284" s="4" customFormat="1" customHeight="1"/>
    <row r="65285" s="4" customFormat="1" customHeight="1"/>
    <row r="65286" s="4" customFormat="1" customHeight="1"/>
    <row r="65287" s="4" customFormat="1" customHeight="1"/>
    <row r="65288" s="4" customFormat="1" customHeight="1"/>
    <row r="65289" s="4" customFormat="1" customHeight="1"/>
    <row r="65290" s="4" customFormat="1" customHeight="1"/>
    <row r="65291" s="4" customFormat="1" customHeight="1"/>
    <row r="65292" s="4" customFormat="1" customHeight="1"/>
    <row r="65293" s="4" customFormat="1" customHeight="1"/>
    <row r="65294" s="4" customFormat="1" customHeight="1"/>
    <row r="65295" s="4" customFormat="1" customHeight="1"/>
    <row r="65296" s="4" customFormat="1" customHeight="1"/>
    <row r="65297" s="4" customFormat="1" customHeight="1"/>
    <row r="65298" s="4" customFormat="1" customHeight="1"/>
    <row r="65299" s="4" customFormat="1" customHeight="1"/>
    <row r="65300" s="4" customFormat="1" customHeight="1"/>
    <row r="65301" s="4" customFormat="1" customHeight="1"/>
    <row r="65302" s="4" customFormat="1" customHeight="1"/>
    <row r="65303" s="4" customFormat="1" customHeight="1"/>
    <row r="65304" s="4" customFormat="1" customHeight="1"/>
    <row r="65305" s="4" customFormat="1" customHeight="1"/>
    <row r="65306" s="4" customFormat="1" customHeight="1"/>
    <row r="65307" s="4" customFormat="1" customHeight="1"/>
    <row r="65308" s="4" customFormat="1" customHeight="1"/>
    <row r="65309" s="4" customFormat="1" customHeight="1"/>
    <row r="65310" s="4" customFormat="1" customHeight="1"/>
    <row r="65311" s="4" customFormat="1" customHeight="1"/>
    <row r="65312" s="4" customFormat="1" customHeight="1"/>
    <row r="65313" s="4" customFormat="1" customHeight="1"/>
    <row r="65314" s="4" customFormat="1" customHeight="1"/>
    <row r="65315" s="4" customFormat="1" customHeight="1"/>
    <row r="65316" s="4" customFormat="1" customHeight="1"/>
    <row r="65317" s="4" customFormat="1" customHeight="1"/>
    <row r="65318" s="4" customFormat="1" customHeight="1"/>
    <row r="65319" s="4" customFormat="1" customHeight="1"/>
    <row r="65320" s="4" customFormat="1" customHeight="1"/>
    <row r="65321" s="4" customFormat="1" customHeight="1"/>
    <row r="65322" s="4" customFormat="1" customHeight="1"/>
    <row r="65323" s="4" customFormat="1" customHeight="1"/>
    <row r="65324" s="4" customFormat="1" customHeight="1"/>
    <row r="65325" s="4" customFormat="1" customHeight="1"/>
    <row r="65326" s="4" customFormat="1" customHeight="1"/>
    <row r="65327" s="4" customFormat="1" customHeight="1"/>
    <row r="65328" s="4" customFormat="1" customHeight="1"/>
    <row r="65329" s="4" customFormat="1" customHeight="1"/>
    <row r="65330" s="4" customFormat="1" customHeight="1"/>
    <row r="65331" s="4" customFormat="1" customHeight="1"/>
    <row r="65332" s="4" customFormat="1" customHeight="1"/>
    <row r="65333" s="4" customFormat="1" customHeight="1"/>
    <row r="65334" s="4" customFormat="1" customHeight="1"/>
    <row r="65335" s="4" customFormat="1" customHeight="1"/>
    <row r="65336" s="4" customFormat="1" customHeight="1"/>
    <row r="65337" s="4" customFormat="1" customHeight="1"/>
    <row r="65338" s="4" customFormat="1" customHeight="1"/>
    <row r="65339" s="4" customFormat="1" customHeight="1"/>
    <row r="65340" s="4" customFormat="1" customHeight="1"/>
    <row r="65341" s="4" customFormat="1" customHeight="1"/>
    <row r="65342" s="4" customFormat="1" customHeight="1"/>
    <row r="65343" s="4" customFormat="1" customHeight="1"/>
    <row r="65344" s="4" customFormat="1" customHeight="1"/>
    <row r="65345" s="4" customFormat="1" customHeight="1"/>
    <row r="65346" s="4" customFormat="1" customHeight="1"/>
    <row r="65347" s="4" customFormat="1" customHeight="1"/>
    <row r="65348" s="4" customFormat="1" customHeight="1"/>
    <row r="65349" s="4" customFormat="1" customHeight="1"/>
    <row r="65350" s="4" customFormat="1" customHeight="1"/>
    <row r="65351" s="4" customFormat="1" customHeight="1"/>
    <row r="65352" s="4" customFormat="1" customHeight="1"/>
    <row r="65353" s="4" customFormat="1" customHeight="1"/>
    <row r="65354" s="4" customFormat="1" customHeight="1"/>
    <row r="65355" s="4" customFormat="1" customHeight="1"/>
    <row r="65356" s="4" customFormat="1" customHeight="1"/>
    <row r="65357" s="4" customFormat="1" customHeight="1"/>
    <row r="65358" s="4" customFormat="1" customHeight="1"/>
    <row r="65359" s="4" customFormat="1" customHeight="1"/>
    <row r="65360" s="4" customFormat="1" customHeight="1"/>
    <row r="65361" s="4" customFormat="1" customHeight="1"/>
    <row r="65362" s="4" customFormat="1" customHeight="1"/>
    <row r="65363" s="4" customFormat="1" customHeight="1"/>
    <row r="65364" s="4" customFormat="1" customHeight="1"/>
    <row r="65365" s="4" customFormat="1" customHeight="1"/>
    <row r="65366" s="4" customFormat="1" customHeight="1"/>
    <row r="65367" s="4" customFormat="1" customHeight="1"/>
    <row r="65368" s="4" customFormat="1" customHeight="1"/>
    <row r="65369" s="4" customFormat="1" customHeight="1"/>
    <row r="65370" s="4" customFormat="1" customHeight="1"/>
    <row r="65371" s="4" customFormat="1" customHeight="1"/>
    <row r="65372" s="4" customFormat="1" customHeight="1"/>
    <row r="65373" s="4" customFormat="1" customHeight="1"/>
    <row r="65374" s="4" customFormat="1" customHeight="1"/>
    <row r="65375" s="4" customFormat="1" customHeight="1"/>
    <row r="65376" s="4" customFormat="1" customHeight="1"/>
    <row r="65377" s="4" customFormat="1" customHeight="1"/>
    <row r="65378" s="4" customFormat="1" customHeight="1"/>
    <row r="65379" s="4" customFormat="1" customHeight="1"/>
    <row r="65380" s="4" customFormat="1" customHeight="1"/>
    <row r="65381" s="4" customFormat="1" customHeight="1"/>
    <row r="65382" s="4" customFormat="1" customHeight="1"/>
    <row r="65383" s="4" customFormat="1" customHeight="1"/>
    <row r="65384" s="4" customFormat="1" customHeight="1"/>
    <row r="65385" s="4" customFormat="1" customHeight="1"/>
    <row r="65386" s="4" customFormat="1" customHeight="1"/>
    <row r="65387" s="4" customFormat="1" customHeight="1"/>
    <row r="65388" s="4" customFormat="1" customHeight="1"/>
    <row r="65389" s="4" customFormat="1" customHeight="1"/>
    <row r="65390" s="4" customFormat="1" customHeight="1"/>
    <row r="65391" s="4" customFormat="1" customHeight="1"/>
    <row r="65392" s="4" customFormat="1" customHeight="1"/>
    <row r="65393" s="4" customFormat="1" customHeight="1"/>
    <row r="65394" s="4" customFormat="1" customHeight="1"/>
    <row r="65395" s="4" customFormat="1" customHeight="1"/>
    <row r="65396" s="4" customFormat="1" customHeight="1"/>
    <row r="65397" s="4" customFormat="1" customHeight="1"/>
    <row r="65398" s="4" customFormat="1" customHeight="1"/>
    <row r="65399" s="4" customFormat="1" customHeight="1"/>
    <row r="65400" s="4" customFormat="1" customHeight="1"/>
    <row r="65401" s="4" customFormat="1" customHeight="1"/>
    <row r="65402" s="4" customFormat="1" customHeight="1"/>
    <row r="65403" s="4" customFormat="1" customHeight="1"/>
    <row r="65404" s="4" customFormat="1" customHeight="1"/>
    <row r="65405" s="4" customFormat="1" customHeight="1"/>
    <row r="65406" s="4" customFormat="1" customHeight="1"/>
    <row r="65407" s="4" customFormat="1" customHeight="1"/>
    <row r="65408" s="4" customFormat="1" customHeight="1"/>
    <row r="65409" s="4" customFormat="1" customHeight="1"/>
    <row r="65410" s="4" customFormat="1" customHeight="1"/>
    <row r="65411" s="4" customFormat="1" customHeight="1"/>
    <row r="65412" s="4" customFormat="1" customHeight="1"/>
    <row r="65413" s="4" customFormat="1" customHeight="1"/>
    <row r="65414" s="4" customFormat="1" customHeight="1"/>
    <row r="65415" s="4" customFormat="1" customHeight="1"/>
    <row r="65416" s="4" customFormat="1" customHeight="1"/>
    <row r="65417" s="4" customFormat="1" customHeight="1"/>
    <row r="65418" s="4" customFormat="1" customHeight="1"/>
    <row r="65419" s="4" customFormat="1" customHeight="1"/>
    <row r="65420" s="4" customFormat="1" customHeight="1"/>
    <row r="65421" s="4" customFormat="1" customHeight="1"/>
    <row r="65422" s="4" customFormat="1" customHeight="1"/>
    <row r="65423" s="4" customFormat="1" customHeight="1"/>
    <row r="65424" s="4" customFormat="1" customHeight="1"/>
    <row r="65425" s="4" customFormat="1" customHeight="1"/>
    <row r="65426" s="4" customFormat="1" customHeight="1"/>
    <row r="65427" s="4" customFormat="1" customHeight="1"/>
    <row r="65428" s="4" customFormat="1" customHeight="1"/>
    <row r="65429" s="4" customFormat="1" customHeight="1"/>
    <row r="65430" s="4" customFormat="1" customHeight="1"/>
    <row r="65431" s="4" customFormat="1" customHeight="1"/>
    <row r="65432" s="4" customFormat="1" customHeight="1"/>
    <row r="65433" s="4" customFormat="1" customHeight="1"/>
    <row r="65434" s="4" customFormat="1" customHeight="1"/>
    <row r="65435" s="4" customFormat="1" customHeight="1"/>
    <row r="65436" s="4" customFormat="1" customHeight="1"/>
    <row r="65437" s="4" customFormat="1" customHeight="1"/>
    <row r="65438" s="4" customFormat="1" customHeight="1"/>
    <row r="65439" s="4" customFormat="1" customHeight="1"/>
    <row r="65440" s="4" customFormat="1" customHeight="1"/>
    <row r="65441" s="4" customFormat="1" customHeight="1"/>
    <row r="65442" s="4" customFormat="1" customHeight="1"/>
    <row r="65443" s="4" customFormat="1" customHeight="1"/>
    <row r="65444" s="4" customFormat="1" customHeight="1"/>
    <row r="65445" s="4" customFormat="1" customHeight="1"/>
    <row r="65446" s="4" customFormat="1" customHeight="1"/>
    <row r="65447" s="4" customFormat="1" customHeight="1"/>
    <row r="65448" s="4" customFormat="1" customHeight="1"/>
    <row r="65449" s="4" customFormat="1" customHeight="1"/>
    <row r="65450" s="4" customFormat="1" customHeight="1"/>
    <row r="65451" s="4" customFormat="1" customHeight="1"/>
    <row r="65452" s="4" customFormat="1" customHeight="1"/>
    <row r="65453" s="4" customFormat="1" customHeight="1"/>
    <row r="65454" s="4" customFormat="1" customHeight="1"/>
    <row r="65455" s="4" customFormat="1" customHeight="1"/>
    <row r="65456" s="4" customFormat="1" customHeight="1"/>
    <row r="65457" s="4" customFormat="1" customHeight="1"/>
    <row r="65458" s="4" customFormat="1" customHeight="1"/>
    <row r="65459" s="4" customFormat="1" customHeight="1"/>
    <row r="65460" s="4" customFormat="1" customHeight="1"/>
    <row r="65461" s="4" customFormat="1" customHeight="1"/>
    <row r="65462" s="4" customFormat="1" customHeight="1"/>
    <row r="65463" s="4" customFormat="1" customHeight="1"/>
    <row r="65464" s="4" customFormat="1" customHeight="1"/>
    <row r="65465" s="4" customFormat="1" customHeight="1"/>
    <row r="65466" s="4" customFormat="1" customHeight="1"/>
    <row r="65467" s="4" customFormat="1" customHeight="1"/>
    <row r="65468" s="4" customFormat="1" customHeight="1"/>
    <row r="65469" s="4" customFormat="1" customHeight="1"/>
    <row r="65470" s="4" customFormat="1" customHeight="1"/>
    <row r="65471" s="4" customFormat="1" customHeight="1"/>
    <row r="65472" s="4" customFormat="1" customHeight="1"/>
    <row r="65473" s="4" customFormat="1" customHeight="1"/>
    <row r="65474" s="4" customFormat="1" customHeight="1"/>
    <row r="65475" s="4" customFormat="1" customHeight="1"/>
    <row r="65476" s="4" customFormat="1" customHeight="1"/>
    <row r="65477" s="4" customFormat="1" customHeight="1"/>
    <row r="65478" s="4" customFormat="1" customHeight="1"/>
    <row r="65479" s="4" customFormat="1" customHeight="1"/>
    <row r="65480" s="4" customFormat="1" customHeight="1"/>
    <row r="65481" s="4" customFormat="1" customHeight="1"/>
    <row r="65482" s="4" customFormat="1" customHeight="1"/>
    <row r="65483" s="4" customFormat="1" customHeight="1"/>
    <row r="65484" s="4" customFormat="1" customHeight="1"/>
    <row r="65485" s="4" customFormat="1" customHeight="1"/>
    <row r="65486" s="4" customFormat="1" customHeight="1"/>
    <row r="65487" s="4" customFormat="1" customHeight="1"/>
    <row r="65488" s="4" customFormat="1" customHeight="1"/>
    <row r="65489" s="4" customFormat="1" customHeight="1"/>
    <row r="65490" s="4" customFormat="1" customHeight="1"/>
    <row r="65491" s="4" customFormat="1" customHeight="1"/>
    <row r="65492" s="4" customFormat="1" customHeight="1"/>
    <row r="65493" s="4" customFormat="1" customHeight="1"/>
    <row r="65494" s="4" customFormat="1" customHeight="1"/>
    <row r="65495" s="4" customFormat="1" customHeight="1"/>
    <row r="65496" s="4" customFormat="1" customHeight="1"/>
    <row r="65497" s="4" customFormat="1" customHeight="1"/>
    <row r="65498" s="4" customFormat="1" customHeight="1"/>
    <row r="65499" s="4" customFormat="1" customHeight="1"/>
    <row r="65500" s="4" customFormat="1" customHeight="1"/>
    <row r="65501" s="4" customFormat="1" customHeight="1"/>
    <row r="65502" s="4" customFormat="1" customHeight="1"/>
    <row r="65503" s="4" customFormat="1" customHeight="1"/>
    <row r="65504" s="4" customFormat="1" customHeight="1"/>
    <row r="65505" s="4" customFormat="1" customHeight="1"/>
    <row r="65506" s="4" customFormat="1" customHeight="1"/>
    <row r="65507" s="4" customFormat="1" customHeight="1"/>
    <row r="65508" s="4" customFormat="1" customHeight="1"/>
    <row r="65509" s="4" customFormat="1" customHeight="1"/>
    <row r="65510" s="4" customFormat="1" customHeight="1"/>
    <row r="65511" s="4" customFormat="1" customHeight="1"/>
    <row r="65512" s="4" customFormat="1" customHeight="1"/>
    <row r="65513" s="4" customFormat="1" customHeight="1"/>
    <row r="65514" s="4" customFormat="1" customHeight="1"/>
    <row r="65515" s="4" customFormat="1" customHeight="1"/>
    <row r="65516" s="4" customFormat="1" customHeight="1"/>
    <row r="65517" s="4" customFormat="1" customHeight="1"/>
    <row r="65518" s="4" customFormat="1" customHeight="1"/>
    <row r="65519" s="4" customFormat="1" customHeight="1"/>
    <row r="65520" s="4" customFormat="1" customHeight="1"/>
    <row r="65521" s="4" customFormat="1" customHeight="1"/>
    <row r="65522" s="4" customFormat="1" customHeight="1"/>
    <row r="65523" s="4" customFormat="1" customHeight="1"/>
    <row r="65524" s="4" customFormat="1" customHeight="1"/>
    <row r="65525" s="4" customFormat="1" customHeight="1"/>
    <row r="65526" s="4" customFormat="1" customHeight="1"/>
    <row r="65527" s="4" customFormat="1" customHeight="1"/>
    <row r="65528" s="4" customFormat="1" customHeight="1"/>
    <row r="65529" s="4" customFormat="1" customHeight="1"/>
    <row r="65530" s="4" customFormat="1" customHeight="1"/>
    <row r="65531" s="4" customFormat="1" customHeight="1"/>
    <row r="65532" s="4" customFormat="1" customHeight="1"/>
    <row r="65533" s="4" customFormat="1" customHeight="1"/>
    <row r="65534" s="4" customFormat="1" customHeight="1"/>
  </sheetData>
  <mergeCells count="8">
    <mergeCell ref="A2:G2"/>
    <mergeCell ref="A5:D5"/>
    <mergeCell ref="A6:D6"/>
    <mergeCell ref="A7:D7"/>
    <mergeCell ref="F159:F172"/>
    <mergeCell ref="F258:F260"/>
    <mergeCell ref="G159:G172"/>
    <mergeCell ref="G258:G260"/>
  </mergeCells>
  <printOptions horizontalCentered="1"/>
  <pageMargins left="0.786805555555556" right="0.786805555555556" top="0.393055555555556" bottom="0.393055555555556" header="0.196527777777778" footer="0.196527777777778"/>
  <pageSetup paperSize="9" scale="64" fitToHeight="0" orientation="landscape" horizontalDpi="600"/>
  <headerFooter alignWithMargins="0" scaleWithDoc="0">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封面</vt:lpstr>
      <vt:lpstr>（附表1）公共财政预算收入计划调整</vt:lpstr>
      <vt:lpstr>（附表2）公共财政预算支出计划调整</vt:lpstr>
      <vt:lpstr>（附表3）一般公共预算支出项目调整</vt:lpstr>
      <vt:lpstr>（附表4）财力性补助表</vt:lpstr>
      <vt:lpstr>（附表5）2021基金收入科目</vt:lpstr>
      <vt:lpstr>（附表6）政府性基金预算收入项目调整</vt:lpstr>
      <vt:lpstr>（附表7）2021年基金支出科目</vt:lpstr>
      <vt:lpstr>（附表8）政府性基金预算支出项目调整</vt:lpstr>
      <vt:lpstr>（附表9）国有资本经营收入表</vt:lpstr>
      <vt:lpstr>（附表10）国有资本经营支出表</vt:lpstr>
      <vt:lpstr>（附表11）社会保险基金收入表</vt:lpstr>
      <vt:lpstr>（附表12）社会保险基金支出表</vt:lpstr>
      <vt:lpstr>（附表13）新增债券资金分配表</vt:lpstr>
      <vt:lpstr>（附表14）2021年收回存量资金及安排表</vt:lpstr>
      <vt:lpstr>附表14-1</vt:lpstr>
      <vt:lpstr>附表14-2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大云朵</cp:lastModifiedBy>
  <cp:revision>1</cp:revision>
  <dcterms:created xsi:type="dcterms:W3CDTF">1996-12-17T01:32:00Z</dcterms:created>
  <cp:lastPrinted>2021-09-15T00:35:00Z</cp:lastPrinted>
  <dcterms:modified xsi:type="dcterms:W3CDTF">2024-09-30T12:39:53Z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ubyTemplateID">
    <vt:lpwstr>14</vt:lpwstr>
  </property>
  <property fmtid="{D5CDD505-2E9C-101B-9397-08002B2CF9AE}" pid="4" name="ICV">
    <vt:lpwstr>C88BB34DDC0443838362D4CED6A359B0</vt:lpwstr>
  </property>
</Properties>
</file>